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wglmBpOqOmZJotT4bQUIA/26zzKojbQBXevHYf0sIDx4VcO+0A4taHQq8b0AZpvkFZN6ik2eeZUcd9OQj3Pa0Q==" workbookSaltValue="XYDMXCH50BMTd6DDsnPlw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T9" i="11"/>
  <c r="BH16" i="11"/>
  <c r="BF29" i="11"/>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L9" i="2"/>
  <c r="AP14" i="16"/>
  <c r="V25"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T31" i="8" l="1"/>
  <c r="AA11" i="16"/>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R13" i="14"/>
  <c r="S12" i="14"/>
  <c r="V12" i="14" s="1"/>
  <c r="S19" i="14"/>
  <c r="V19" i="14" s="1"/>
  <c r="S17" i="14"/>
  <c r="V17" i="14" s="1"/>
  <c r="S29" i="14"/>
  <c r="V29" i="14" s="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AZ26"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K16" i="12"/>
  <c r="BF23" i="13"/>
  <c r="AZ14"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12" i="11"/>
  <c r="H32" i="17"/>
  <c r="O32" i="20"/>
  <c r="AW32" i="11"/>
  <c r="AV32" i="2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O32" i="17"/>
  <c r="AT32" i="20"/>
  <c r="AE32" i="11"/>
  <c r="AP32" i="21"/>
  <c r="AH32" i="21"/>
  <c r="T32" i="16"/>
  <c r="AT32" i="16"/>
  <c r="AV32" i="17"/>
  <c r="AW32" i="21"/>
  <c r="AZ32" i="16"/>
  <c r="Q32" i="16"/>
  <c r="Z32" i="16"/>
  <c r="V32" i="17"/>
  <c r="BS32" i="16"/>
  <c r="BC32" i="21"/>
  <c r="L32" i="11"/>
  <c r="H32" i="12"/>
  <c r="V32" i="11"/>
  <c r="P32" i="11"/>
  <c r="S32" i="16"/>
  <c r="AR32" i="17"/>
  <c r="X32" i="21"/>
  <c r="Y32" i="11"/>
  <c r="AB32" i="16"/>
  <c r="AG32" i="11"/>
  <c r="AE32" i="21"/>
  <c r="AD32" i="21"/>
  <c r="K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K32" i="17"/>
  <c r="E32" i="11"/>
  <c r="V32" i="20"/>
  <c r="AP32" i="16"/>
  <c r="Y32" i="17"/>
  <c r="O32" i="21"/>
  <c r="AO32" i="11"/>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17"/>
  <c r="AY32" i="16"/>
  <c r="BF32" i="16"/>
  <c r="AS32" i="17"/>
  <c r="X32" i="16"/>
  <c r="AY32" i="21"/>
  <c r="AL32" i="1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<sst xmlns="http://schemas.openxmlformats.org/spreadsheetml/2006/main" count="2654" uniqueCount="1185">
  <si>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</si>
  <si>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</si>
  <si>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</si>
  <si>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</si>
  <si>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</si>
  <si>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</si>
  <si>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</si>
  <si>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</si>
  <si>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</si>
  <si>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</si>
  <si>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</si>
  <si>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</si>
  <si>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</si>
  <si>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</si>
  <si>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</si>
  <si>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</si>
  <si>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</si>
  <si>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</si>
  <si>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</si>
  <si>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</si>
  <si>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</si>
  <si>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</si>
  <si>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</si>
  <si>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</si>
  <si>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</si>
  <si>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</si>
  <si>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</si>
  <si>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</si>
  <si>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</si>
  <si>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</si>
  <si>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</si>
  <si>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</si>
  <si>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</si>
  <si>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</si>
  <si>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</si>
  <si>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</si>
  <si>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</si>
  <si>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</si>
  <si>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</si>
  <si>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</si>
  <si>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</si>
  <si>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</si>
  <si>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</si>
  <si>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</si>
  <si>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</si>
  <si>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</si>
  <si>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</si>
  <si>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</si>
  <si>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</si>
  <si>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</si>
  <si>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</si>
  <si>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</si>
  <si>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</si>
  <si>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</si>
  <si>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</si>
  <si>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</si>
  <si>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</si>
  <si>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</si>
  <si>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</si>
  <si>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</si>
  <si>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</si>
  <si>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</si>
  <si>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</si>
  <si>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</si>
  <si>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</si>
  <si>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</si>
  <si>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</si>
  <si>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</si>
  <si>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</si>
  <si>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</si>
  <si>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</si>
  <si>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</si>
  <si>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</si>
  <si>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</si>
  <si>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</si>
  <si>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</si>
  <si>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</si>
  <si>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</si>
  <si>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</si>
  <si>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</si>
  <si>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</si>
  <si>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</si>
  <si>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</si>
  <si>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</si>
  <si>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</si>
  <si>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</si>
  <si>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</si>
  <si>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</si>
  <si>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</si>
  <si>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</si>
  <si>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</si>
  <si>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</si>
  <si>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</si>
  <si>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</si>
  <si>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</si>
  <si>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</si>
  <si>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</si>
  <si>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</si>
  <si>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</si>
  <si>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</si>
  <si>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</si>
  <si>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</si>
  <si>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</si>
  <si>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</si>
  <si>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</si>
  <si>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</si>
  <si>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</si>
  <si>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</si>
  <si>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</si>
  <si>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</si>
  <si>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</si>
  <si>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</si>
  <si>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</si>
  <si>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</si>
  <si>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</si>
  <si>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</si>
  <si>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</si>
  <si>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</si>
  <si>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</si>
  <si>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</si>
  <si>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</si>
  <si>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</si>
  <si>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</si>
  <si>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</si>
  <si>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</si>
  <si>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</si>
  <si>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</si>
  <si>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</si>
  <si>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</si>
  <si>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</si>
  <si>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</si>
  <si>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</si>
  <si>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</si>
  <si>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</si>
  <si>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</si>
  <si>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</si>
  <si>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</si>
  <si>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</si>
  <si>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</si>
  <si>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</si>
  <si>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</si>
  <si>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</si>
  <si>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</si>
  <si>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</si>
  <si>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</si>
  <si>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</si>
  <si>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</si>
  <si>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</si>
  <si>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</si>
  <si>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</si>
  <si>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</si>
  <si>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</si>
  <si>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</si>
  <si>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</si>
  <si>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</si>
  <si>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</si>
  <si>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</si>
  <si>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</si>
  <si>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</si>
  <si>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</si>
  <si>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</si>
  <si>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</si>
  <si>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</si>
  <si>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</si>
  <si>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</si>
  <si>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</si>
  <si>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</si>
  <si>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</si>
  <si>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</si>
  <si>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</si>
  <si>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</si>
  <si>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</si>
  <si>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</si>
  <si>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</si>
  <si>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</si>
  <si>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</si>
  <si>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</si>
  <si>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</si>
  <si>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</si>
  <si>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</si>
  <si>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</si>
  <si>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</si>
  <si>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</si>
  <si>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</si>
  <si>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</si>
  <si>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</si>
  <si>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</si>
  <si>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</si>
  <si>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</si>
  <si>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</si>
  <si>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</si>
  <si>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</si>
  <si>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</si>
  <si>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</si>
  <si>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</si>
  <si>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</si>
  <si>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</si>
  <si>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</si>
  <si>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</si>
  <si>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</si>
  <si>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</si>
  <si>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</si>
  <si>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</si>
  <si>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</si>
  <si>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</si>
  <si>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</si>
  <si>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</si>
  <si>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</si>
  <si>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</si>
  <si>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</si>
  <si>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</si>
  <si>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</si>
  <si>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</si>
  <si>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</si>
  <si>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</si>
  <si>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</si>
  <si>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</si>
  <si>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</si>
  <si>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</si>
  <si>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</si>
  <si>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</si>
  <si>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</si>
  <si>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</si>
  <si>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</si>
  <si>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</si>
  <si>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</si>
  <si>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</si>
  <si>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</si>
  <si>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</si>
  <si>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</si>
  <si>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</si>
  <si>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</si>
  <si>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</si>
  <si>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</si>
  <si>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</si>
  <si>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</si>
  <si>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</si>
  <si>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</si>
  <si>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</si>
  <si>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</si>
  <si>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</si>
  <si>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</si>
  <si>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</si>
  <si>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</si>
  <si>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</si>
  <si>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</si>
  <si>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</si>
  <si>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</si>
  <si>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</si>
  <si>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</si>
  <si>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</si>
  <si>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</si>
  <si>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</si>
  <si>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</si>
  <si>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</si>
  <si>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</si>
  <si>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</si>
  <si>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</si>
  <si>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</si>
  <si>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</si>
  <si>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</si>
  <si>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</si>
  <si>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</si>
  <si>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</si>
  <si>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</si>
  <si>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</si>
  <si>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</si>
  <si>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</si>
  <si>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</si>
  <si>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</si>
  <si>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</si>
  <si>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</si>
  <si>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</si>
  <si>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</si>
  <si>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</si>
  <si>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</si>
  <si>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</si>
  <si>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</si>
  <si>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</si>
  <si>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</si>
  <si>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</si>
  <si>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</si>
  <si>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</si>
  <si>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</si>
  <si>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</si>
  <si>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</si>
  <si>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</si>
  <si>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</si>
  <si>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</si>
  <si>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</si>
  <si>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</si>
  <si>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</si>
  <si>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</si>
  <si>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</si>
  <si>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</si>
  <si>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</si>
  <si>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</si>
  <si>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</si>
  <si>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</si>
  <si>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</si>
  <si>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</si>
  <si>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</si>
  <si>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</si>
  <si>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</si>
  <si>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</si>
  <si>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</si>
  <si>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</si>
  <si>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</si>
  <si>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</si>
  <si>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</si>
  <si>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</si>
  <si>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</si>
  <si>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</si>
  <si>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</si>
  <si>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</si>
  <si>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</si>
  <si>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</si>
  <si>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</si>
  <si>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</si>
  <si>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</si>
  <si>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</si>
  <si>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</si>
  <si>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</si>
  <si>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</si>
  <si>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</si>
  <si>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</si>
  <si>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</si>
  <si>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</si>
  <si>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</si>
  <si>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</si>
  <si>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</si>
  <si>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</si>
  <si>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</si>
  <si>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</si>
  <si>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</si>
  <si>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</si>
  <si>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</si>
  <si>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</si>
  <si>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</si>
  <si>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</si>
  <si>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</si>
  <si>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</si>
  <si>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</si>
  <si>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</si>
  <si>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</si>
  <si>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</si>
  <si>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</si>
  <si>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</si>
  <si>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</si>
  <si>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</si>
  <si>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</si>
  <si>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</si>
  <si>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</si>
  <si>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</si>
  <si>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</si>
  <si>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</si>
  <si>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</si>
  <si>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</si>
  <si>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</si>
  <si>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</si>
  <si>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</si>
  <si>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</si>
  <si>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</si>
  <si>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</si>
  <si>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</si>
  <si>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</si>
  <si>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</si>
  <si>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</si>
  <si>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</si>
  <si>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</si>
  <si>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</si>
  <si>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</si>
  <si>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</si>
  <si>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</si>
  <si>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</si>
  <si>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</si>
  <si>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</si>
  <si>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</si>
  <si>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</si>
  <si>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</si>
  <si>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</si>
  <si>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</si>
  <si>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</si>
  <si>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</si>
  <si>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</si>
  <si>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</si>
  <si>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</si>
  <si>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</si>
  <si>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</si>
  <si>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</si>
  <si>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</si>
  <si>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</si>
  <si>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</si>
  <si>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</si>
  <si>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</si>
  <si>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</si>
  <si>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</si>
  <si>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</si>
  <si>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</si>
  <si>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</si>
  <si>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</si>
  <si>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</si>
  <si>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</si>
  <si>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</si>
  <si>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</si>
  <si>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</si>
  <si>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</si>
  <si>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</si>
  <si>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</si>
  <si>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</si>
  <si>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</si>
  <si>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</si>
  <si>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</si>
  <si>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</si>
  <si>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</si>
  <si>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</si>
  <si>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</si>
  <si>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</si>
  <si>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</si>
  <si>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</si>
  <si>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</si>
  <si>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</si>
  <si>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</si>
  <si>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</si>
  <si>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</si>
  <si>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</si>
  <si>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</si>
  <si>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</si>
  <si>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</si>
  <si>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</si>
  <si>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</si>
  <si>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</si>
  <si>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</si>
  <si>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</si>
  <si>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</si>
  <si>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</si>
  <si>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</si>
  <si>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</si>
  <si>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</si>
  <si>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</si>
  <si>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</si>
  <si>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</si>
  <si>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</si>
  <si>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</si>
  <si>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</si>
  <si>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</si>
  <si>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</si>
  <si>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</si>
  <si>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</si>
  <si>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</si>
  <si>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</si>
  <si>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</si>
  <si>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</si>
  <si>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</si>
  <si>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</si>
  <si>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</si>
  <si>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</si>
  <si>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</si>
  <si>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</si>
  <si>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</si>
  <si>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</si>
  <si>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</si>
  <si>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</si>
  <si>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</si>
  <si>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</si>
  <si>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</si>
  <si>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</si>
  <si>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</si>
  <si>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</si>
  <si>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</si>
  <si>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</si>
  <si>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</si>
  <si>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</si>
  <si>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</si>
  <si>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</si>
  <si>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</si>
  <si>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</si>
  <si>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</si>
  <si>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</si>
  <si>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</si>
  <si>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</si>
  <si>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</si>
  <si>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</si>
  <si>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</si>
  <si>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</si>
  <si>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</si>
  <si>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</si>
  <si>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</si>
  <si>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</si>
  <si>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</si>
  <si>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</si>
  <si>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</si>
  <si>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</si>
  <si>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</si>
  <si>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</si>
  <si>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</si>
  <si>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</si>
  <si>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</si>
  <si>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</si>
  <si>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</si>
  <si>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</si>
  <si>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</si>
  <si>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</si>
  <si>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</si>
  <si>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</si>
  <si>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</si>
  <si>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</si>
  <si>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</si>
  <si>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</si>
  <si>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</si>
  <si>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</si>
  <si>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</si>
  <si>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</si>
  <si>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</si>
  <si>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</si>
  <si>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</si>
  <si>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</si>
  <si>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</si>
  <si>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</si>
  <si>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</si>
  <si>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</si>
  <si>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</si>
  <si>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</si>
  <si>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</si>
  <si>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</si>
  <si>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</si>
  <si>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</si>
  <si>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</si>
  <si>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</si>
  <si>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</si>
  <si>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</si>
  <si>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</si>
  <si>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</si>
  <si>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</si>
  <si>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</si>
  <si>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</si>
  <si>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</si>
  <si>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</si>
  <si>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</si>
  <si>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</si>
  <si>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</si>
  <si>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</si>
  <si>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</si>
  <si>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</si>
  <si>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</si>
  <si>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</si>
  <si>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</si>
  <si>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</si>
  <si>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</si>
  <si>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</si>
  <si>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</si>
  <si>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</si>
  <si>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</si>
  <si>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</si>
  <si>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</si>
  <si>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</si>
  <si>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</si>
  <si>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</si>
  <si>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</si>
  <si>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</si>
  <si>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</si>
  <si>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</si>
  <si>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</si>
  <si>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</si>
  <si>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</si>
  <si>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</si>
  <si>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</si>
  <si>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</si>
  <si>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</si>
  <si>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</si>
  <si>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</si>
  <si>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</si>
  <si>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</si>
  <si>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</si>
  <si>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</si>
  <si>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</si>
  <si>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</si>
  <si>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</si>
  <si>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</si>
  <si>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</si>
  <si>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</si>
  <si>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</si>
  <si>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</si>
  <si>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</si>
  <si>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</si>
  <si>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</si>
  <si>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</si>
  <si>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</si>
  <si>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</si>
  <si>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</si>
  <si>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</si>
  <si>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</si>
  <si>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</si>
  <si>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</si>
  <si>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</si>
  <si>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</si>
  <si>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</si>
  <si>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</si>
  <si>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</si>
  <si>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</si>
  <si>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</si>
  <si>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</si>
  <si>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</si>
  <si>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</si>
  <si>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</si>
  <si>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</si>
  <si>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</si>
  <si>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</si>
  <si>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</si>
  <si>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</si>
  <si>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</si>
  <si>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</si>
  <si>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</si>
  <si>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</si>
  <si>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</si>
  <si>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</si>
  <si>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</si>
  <si>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</si>
  <si>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</si>
  <si>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</si>
  <si>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</si>
  <si>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</si>
  <si>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</si>
  <si>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</si>
  <si>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</si>
  <si>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</si>
  <si>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</si>
  <si>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</si>
  <si>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</si>
  <si>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</si>
  <si>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</si>
  <si>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</si>
  <si>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</si>
  <si>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</si>
  <si>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</si>
  <si>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</si>
  <si>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</si>
  <si>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</si>
  <si>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</si>
  <si>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</si>
  <si>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</si>
  <si>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</si>
  <si>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</si>
  <si>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</si>
  <si>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</si>
  <si>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</si>
  <si>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</si>
  <si>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</si>
  <si>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</si>
  <si>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</si>
  <si>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</si>
  <si>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</si>
  <si>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</si>
  <si>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</si>
  <si>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</si>
  <si>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</si>
  <si>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</si>
  <si>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</si>
  <si>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</si>
  <si>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</si>
  <si>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</si>
  <si>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</si>
  <si>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</si>
  <si>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</si>
  <si>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</si>
  <si>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</si>
  <si>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</si>
  <si>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</si>
  <si>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</si>
  <si>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</si>
  <si>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</si>
  <si>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</si>
  <si>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</si>
  <si>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</si>
  <si>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</si>
  <si>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</si>
  <si>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</si>
  <si>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</si>
  <si>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</si>
  <si>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</si>
  <si>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</si>
  <si>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</si>
  <si>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</si>
  <si>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</si>
  <si>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</si>
  <si>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</si>
  <si>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</si>
  <si>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</si>
  <si>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</si>
  <si>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</si>
  <si>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</si>
  <si>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</si>
  <si>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</si>
  <si>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</si>
  <si>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</si>
  <si>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</si>
  <si>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</si>
  <si>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</si>
  <si>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</si>
  <si>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</si>
  <si>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</si>
  <si>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</si>
  <si>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</si>
  <si>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</si>
  <si>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</si>
  <si>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</si>
  <si>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</si>
  <si>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</si>
  <si>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</si>
  <si>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</si>
  <si>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</si>
  <si>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</si>
  <si>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</si>
  <si>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</si>
  <si>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</si>
  <si>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</si>
  <si>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</si>
  <si>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</si>
  <si>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</si>
  <si>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</si>
  <si>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</si>
  <si>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</si>
  <si>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</si>
  <si>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</si>
  <si>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</si>
  <si>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</si>
  <si>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</si>
  <si>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</si>
  <si>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</si>
  <si>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</si>
  <si>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</si>
  <si>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</si>
  <si>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</si>
  <si>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</si>
  <si>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</si>
  <si>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</si>
  <si>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</si>
  <si>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</si>
  <si>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</si>
  <si>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</si>
  <si>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</si>
  <si>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</si>
  <si>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</si>
  <si>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</si>
  <si>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</si>
  <si>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</si>
  <si>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</si>
  <si>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</si>
  <si>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</si>
  <si>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</si>
  <si>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</si>
  <si>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</si>
  <si>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</si>
  <si>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</si>
  <si>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</si>
  <si>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</si>
  <si>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</si>
  <si>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</si>
  <si>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</si>
  <si>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</si>
  <si>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</si>
  <si>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</si>
  <si>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</si>
  <si>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</si>
  <si>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</si>
  <si>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</si>
  <si>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</si>
  <si>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</si>
  <si>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</si>
  <si>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</si>
  <si>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</si>
  <si>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</si>
  <si>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</si>
  <si>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</si>
  <si>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</si>
  <si>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</si>
  <si>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</si>
  <si>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</si>
  <si>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</si>
  <si>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</si>
  <si>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</si>
  <si>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</si>
  <si>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</si>
  <si>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</si>
  <si>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</si>
  <si>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</si>
  <si>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</si>
  <si>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</si>
  <si>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</si>
  <si>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</si>
  <si>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</si>
  <si>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</si>
  <si>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</si>
  <si>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</si>
  <si>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</si>
  <si>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</si>
  <si>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</si>
  <si>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</si>
  <si>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</si>
  <si>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</si>
  <si>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</si>
  <si>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</si>
  <si>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</si>
  <si>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</si>
  <si>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</si>
  <si>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</si>
  <si>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</si>
  <si>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</si>
  <si>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</si>
  <si>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</si>
  <si>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</si>
  <si>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</si>
  <si>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</si>
  <si>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</si>
  <si>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</si>
  <si>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</si>
  <si>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</si>
  <si>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</si>
  <si>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</si>
  <si>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</si>
  <si>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</si>
  <si>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</si>
  <si>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</si>
  <si>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</si>
  <si>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</si>
  <si>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</si>
  <si>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</si>
  <si>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</si>
  <si>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</si>
  <si>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</si>
  <si>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</si>
  <si>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</si>
  <si>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</si>
  <si>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</si>
  <si>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</si>
  <si>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</si>
  <si>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</si>
  <si>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</si>
  <si>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</si>
  <si>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</si>
  <si>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</si>
  <si>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</si>
  <si>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</si>
  <si>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</si>
  <si>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</si>
  <si>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</si>
  <si>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</si>
  <si>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</si>
  <si>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</si>
  <si>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</si>
  <si>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</si>
  <si>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</si>
  <si>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</si>
  <si>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</si>
  <si>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</si>
  <si>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</si>
  <si>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</si>
  <si>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</si>
  <si>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</si>
  <si>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</si>
  <si>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</si>
  <si>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</si>
  <si>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</si>
  <si>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</si>
  <si>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</si>
  <si>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</si>
  <si>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</si>
  <si>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</si>
  <si>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</si>
  <si>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</si>
  <si>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</si>
  <si>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</si>
  <si>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</si>
  <si>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</si>
  <si>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</si>
  <si>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</si>
  <si>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</si>
  <si>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</si>
  <si>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</si>
  <si>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</si>
  <si>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</si>
  <si>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</si>
  <si>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</si>
  <si>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</si>
  <si>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</si>
  <si>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</si>
  <si>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</si>
  <si>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</si>
  <si>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</si>
  <si>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</si>
  <si>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</si>
  <si>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</si>
  <si>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</si>
  <si>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</si>
  <si>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</si>
  <si>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</si>
  <si>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</si>
  <si>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</si>
  <si>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</si>
  <si>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</si>
  <si>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</si>
  <si>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</si>
  <si>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</si>
  <si>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</si>
  <si>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</si>
  <si>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</si>
  <si>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</si>
  <si>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</si>
  <si>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</si>
  <si>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</si>
  <si>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</si>
  <si>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</si>
  <si>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</si>
  <si>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</si>
  <si>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</si>
  <si>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</si>
  <si>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</si>
  <si>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</si>
  <si>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</si>
  <si>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</si>
  <si>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</si>
  <si>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</si>
  <si>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</si>
  <si>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</si>
  <si>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</si>
  <si>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</si>
  <si>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</si>
  <si>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</si>
  <si>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</si>
  <si>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</si>
  <si>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</si>
  <si>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</si>
  <si>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</si>
  <si>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</si>
  <si>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</si>
  <si>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</si>
  <si>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</si>
  <si>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</si>
  <si>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</si>
  <si>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</si>
  <si>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</si>
  <si>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</si>
  <si>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</si>
  <si>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</si>
  <si>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</si>
  <si>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</si>
  <si>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</si>
  <si>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</si>
  <si>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</si>
  <si>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</si>
  <si>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</si>
  <si>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</si>
  <si>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</si>
  <si>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</si>
  <si>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</si>
  <si>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</si>
  <si>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</si>
  <si>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</si>
  <si>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</si>
  <si>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</si>
  <si>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</si>
  <si>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</si>
  <si>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</si>
  <si>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</si>
  <si>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</si>
  <si>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</si>
  <si>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</si>
  <si>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</si>
  <si>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</si>
  <si>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</si>
  <si>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</si>
  <si>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</si>
  <si>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</si>
  <si>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</si>
  <si>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</si>
  <si>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</si>
  <si>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</si>
  <si>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</si>
  <si>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</si>
  <si>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</si>
  <si>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</si>
  <si>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</si>
  <si>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</si>
  <si>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</si>
  <si>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</si>
  <si>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</si>
  <si>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</si>
  <si>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</si>
  <si>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</si>
  <si>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</si>
  <si>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</si>
  <si>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</si>
  <si>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</si>
  <si>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</si>
  <si>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</si>
  <si>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</si>
  <si>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</si>
  <si>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</si>
  <si>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</si>
  <si>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</si>
  <si>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</si>
  <si>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</si>
  <si>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</si>
  <si>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</si>
  <si>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</si>
  <si>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</si>
  <si>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</si>
  <si>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</si>
  <si>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</si>
  <si>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</si>
  <si>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</si>
  <si>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</si>
  <si>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</si>
  <si>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</si>
  <si>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</si>
  <si>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</si>
  <si>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</si>
  <si>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</si>
  <si>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</si>
  <si>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</si>
  <si>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</si>
  <si>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</si>
  <si>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</si>
  <si>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</si>
  <si>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</si>
  <si>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</si>
  <si>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</si>
  <si>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</si>
  <si>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</si>
  <si>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</si>
  <si>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</si>
  <si>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</si>
  <si>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</si>
  <si>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</si>
  <si>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</si>
  <si>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</si>
  <si>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</si>
  <si>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</si>
  <si>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</si>
  <si>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</si>
  <si>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</si>
  <si>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</si>
  <si>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</si>
  <si>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</si>
  <si>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</si>
  <si>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</si>
  <si>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</si>
  <si>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</si>
  <si>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</si>
  <si>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</si>
  <si>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</si>
  <si>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</si>
  <si>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</si>
  <si>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</si>
  <si>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</si>
  <si>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</si>
  <si>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</si>
  <si>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</si>
  <si>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</si>
  <si>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</si>
  <si>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</si>
  <si>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</si>
  <si>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</si>
  <si>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</si>
  <si>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</si>
  <si>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</si>
  <si>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</si>
  <si>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</si>
  <si>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</si>
  <si>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</si>
  <si>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</si>
  <si>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</si>
  <si>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</si>
  <si>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</si>
  <si>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</si>
  <si>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</si>
  <si>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</si>
  <si>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</si>
  <si>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</si>
  <si>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</si>
  <si>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</si>
  <si>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</si>
  <si>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</si>
  <si>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</si>
  <si>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</si>
  <si>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</si>
  <si>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</si>
  <si>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</si>
  <si>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</si>
  <si>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</si>
  <si>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</si>
  <si>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</si>
  <si>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</si>
  <si>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</si>
  <si>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</si>
  <si>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</si>
  <si>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</si>
  <si>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</si>
  <si>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</si>
  <si>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</si>
  <si>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</si>
  <si>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</si>
  <si>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</si>
  <si>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</si>
  <si>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</si>
  <si>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</si>
  <si>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</si>
  <si>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</si>
  <si>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</si>
  <si>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</si>
  <si>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</si>
  <si>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</si>
  <si>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</si>
  <si>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</si>
  <si>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</si>
  <si>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</si>
  <si>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</si>
  <si>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</si>
  <si>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</si>
  <si>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</si>
  <si>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</si>
  <si>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</si>
  <si>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</si>
  <si>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</si>
  <si>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</si>
  <si>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</si>
  <si>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</si>
  <si>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</si>
  <si>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</si>
  <si>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</si>
  <si>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</si>
  <si>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</si>
  <si>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</si>
  <si>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</si>
  <si>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</si>
  <si>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</si>
  <si>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</si>
  <si>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</si>
  <si>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</si>
  <si>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</si>
  <si>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</si>
  <si>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</si>
  <si>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</si>
  <si>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</si>
  <si>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</si>
  <si>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</si>
  <si>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</si>
  <si>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</si>
  <si>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</si>
  <si>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</si>
  <si>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</si>
  <si>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</si>
  <si>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</si>
  <si>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</si>
  <si>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</si>
  <si>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</si>
  <si>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</si>
  <si>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</si>
  <si>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</si>
  <si>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</si>
  <si>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</si>
  <si>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</si>
  <si>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</si>
  <si>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</si>
  <si>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</si>
  <si>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</si>
  <si>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</si>
  <si>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</si>
  <si>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</si>
  <si>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</si>
  <si>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</si>
  <si>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</si>
  <si>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</si>
  <si>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</si>
  <si>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</si>
  <si>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</si>
  <si>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</si>
  <si>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</si>
  <si>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</si>
  <si>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</si>
  <si>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CANARIAS</t>
  </si>
  <si>
    <t>Provincias</t>
  </si>
  <si>
    <t>LAS PALMAS</t>
  </si>
  <si>
    <t>Resumenes por Partidos Judiciales</t>
  </si>
  <si>
    <t>ARRECIFE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</si>
</sst>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1178</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1184</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Zsz1zM38oBRlTqcI1FNnvqg5DtzPutRx3eObQ6xMgOjycAhsR7sXQtXaLX2RDLCnscpEyopP5KPR04/wqhfRQ==" saltValue="f2ODTEb/YLit7Y9zv/FXL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20.36312171451678</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25</v>
      </c>
      <c r="D10" s="239">
        <f>IF(ISNUMBER(Datos!I10),Datos!I10," - ")</f>
        <v>25</v>
      </c>
      <c r="E10" s="240">
        <f>IF(ISNUMBER(Datos!J10),Datos!J10," - ")</f>
        <v>31</v>
      </c>
      <c r="F10" s="240">
        <f>IF(ISNUMBER(Datos!K10),Datos!K10," - ")</f>
        <v>31</v>
      </c>
      <c r="G10" s="1390" t="str">
        <f>IF(Datos!E10&lt;&gt;"",Datos!E10,Datos!D10)</f>
        <v>37</v>
      </c>
      <c r="H10" s="241">
        <f>IF(ISNUMBER(Datos!L10),Datos!L10," - ")</f>
        <v>25</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8.870967741935484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25</v>
      </c>
      <c r="D14" s="1407">
        <f>SUBTOTAL(9,D9:D13)</f>
        <v>25</v>
      </c>
      <c r="E14" s="1408">
        <f>SUBTOTAL(9,E9:E13)</f>
        <v>31</v>
      </c>
      <c r="F14" s="1409">
        <f>SUBTOTAL(9,F9:F13)</f>
        <v>31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1512</v>
      </c>
      <c r="D16" s="239">
        <f>IF(ISNUMBER(IF(D_I="SI",Datos!I16,Datos!I16+Datos!AC16)),IF(D_I="SI",Datos!I16,Datos!I16+Datos!AC16)," - ")</f>
        <v>1465</v>
      </c>
      <c r="E16" s="240">
        <f>IF(ISNUMBER(IF(D_I="SI",Datos!J16,Datos!J16+Datos!AD16)),IF(D_I="SI",Datos!J16,Datos!J16+Datos!AD16)," - ")</f>
        <v>3504</v>
      </c>
      <c r="F16" s="240">
        <f>IF(ISNUMBER(IF(D_I="SI",Datos!K16,Datos!K16+Datos!AE16)),IF(D_I="SI",Datos!K16,Datos!K16+Datos!AE16)," - ")</f>
        <v>3473</v>
      </c>
      <c r="G16" s="1390" t="str">
        <f>IF(Datos!E16&lt;&gt;"",Datos!E16,Datos!D16)</f>
        <v>03</v>
      </c>
      <c r="H16" s="241">
        <f>IF(ISNUMBER(IF(D_I="SI",Datos!L16,Datos!L16+Datos!AF16)),IF(D_I="SI",Datos!L16,Datos!L16+Datos!AF16)," - ")</f>
        <v>1543</v>
      </c>
      <c r="I16" s="1400" t="str">
        <f>IF(ISNUMBER(Datos!AS16/Datos!BM16),Datos!AS16/Datos!BM16," - ")</f>
        <v xml:space="preserve"> - </v>
      </c>
      <c r="J16" s="1401">
        <f>IF(ISNUMBER(Datos!BY16/Datos!CN16),Datos!BY16/Datos!CN16," - ")</f>
        <v>0</v>
      </c>
      <c r="K16" s="244">
        <f t="shared" ref="K16:K22" si="3">IF(ISNUMBER((E16-F16)/C16),(E16-F16)/C16," - ")</f>
        <v>2.0502645502645502E-2</v>
      </c>
      <c r="L16" s="1402">
        <f>IF(ISNUMBER(NºAsuntos!I16/NºAsuntos!G16),(NºAsuntos!I16/NºAsuntos!G16)*11," - ")</f>
        <v>4.8871292830405988</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1</v>
      </c>
      <c r="D17" s="239">
        <f>IF(ISNUMBER(IF(D_I="SI",Datos!I17,Datos!I17+Datos!AC17)),IF(D_I="SI",Datos!I17,Datos!I17+Datos!AC17)," - ")</f>
        <v>1</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1</v>
      </c>
      <c r="I17" s="1400" t="str">
        <f>IF(ISNUMBER(Datos!AS17/Datos!BM17),Datos!AS17/Datos!BM17," - ")</f>
        <v xml:space="preserve"> - </v>
      </c>
      <c r="J17" s="1401">
        <f>IF(ISNUMBER(Datos!BY17/Datos!CN17),Datos!BY17/Datos!CN17," - ")</f>
        <v>0</v>
      </c>
      <c r="K17" s="244">
        <f t="shared" si="3"/>
        <v>0</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112</v>
      </c>
      <c r="D18" s="239">
        <f>IF(ISNUMBER(IF(D_I="SI",Datos!I18,Datos!I18+Datos!AC18)),IF(D_I="SI",Datos!I18,Datos!I18+Datos!AC18)," - ")</f>
        <v>143</v>
      </c>
      <c r="E18" s="240">
        <f>IF(ISNUMBER(IF(D_I="SI",Datos!J18,Datos!J18+Datos!AD18)),IF(D_I="SI",Datos!J18,Datos!J18+Datos!AD18)," - ")</f>
        <v>129</v>
      </c>
      <c r="F18" s="240">
        <f>IF(ISNUMBER(IF(D_I="SI",Datos!K18,Datos!K18+Datos!AE18)),IF(D_I="SI",Datos!K18,Datos!K18+Datos!AE18)," - ")</f>
        <v>137</v>
      </c>
      <c r="G18" s="1390" t="str">
        <f>IF(Datos!E18&lt;&gt;"",Datos!E18,Datos!D18)</f>
        <v>37</v>
      </c>
      <c r="H18" s="241">
        <f>IF(ISNUMBER(IF(D_I="SI",Datos!L18,Datos!L18+Datos!AF18)),IF(D_I="SI",Datos!L18,Datos!L18+Datos!AF18)," - ")</f>
        <v>104</v>
      </c>
      <c r="I18" s="1400" t="str">
        <f>IF(ISNUMBER(Datos!AS18/Datos!BM18),Datos!AS18/Datos!BM18," - ")</f>
        <v xml:space="preserve"> - </v>
      </c>
      <c r="J18" s="1401" t="str">
        <f>IF(ISNUMBER((Datos!BY18+Datos!BZ18)/Datos!CN18),(Datos!BY18+Datos!BZ18)/Datos!CN18," - ")</f>
        <v xml:space="preserve"> - </v>
      </c>
      <c r="K18" s="244">
        <f t="shared" si="3"/>
        <v>-7.1428571428571425E-2</v>
      </c>
      <c r="L18" s="1402">
        <f>IF(ISNUMBER(NºAsuntos!I18/NºAsuntos!G18),(NºAsuntos!I18/NºAsuntos!G18)*11," - ")</f>
        <v>8.3503649635036492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1625</v>
      </c>
      <c r="D23" s="1407">
        <f>SUBTOTAL(9,D16:D22)</f>
        <v>1609</v>
      </c>
      <c r="E23" s="1408">
        <f>SUBTOTAL(9,E16:E22)</f>
        <v>3633</v>
      </c>
      <c r="F23" s="1408">
        <f>SUBTOTAL(9,F16:F22)</f>
        <v>3610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1650</v>
      </c>
      <c r="D31" s="1435">
        <f>SUBTOTAL(9,D9:D30)</f>
        <v>1634</v>
      </c>
      <c r="E31" s="1436">
        <f>SUBTOTAL(9,E9:E30)</f>
        <v>3664</v>
      </c>
      <c r="F31" s="1436">
        <f>SUBTOTAL(9,F9:F30)</f>
        <v>3641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FeRdZ++yUxOvCnr7kHVemKjeRlJOscMt0dHcBp0DT2/+GxuHOd7415xaFHVu3fBe2Y9xxW0XYfyLtQRQnLdnzw==" saltValue="4fY6CwHh3hctvOLP7dVfc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p6u/09JIEAgQ/bBsWRlKHu9Rw+GF3J1wFhUcoDww7JbhEfnIIkVjfUDVfwMFEEDqHiYB6Ds2dsFmIJtD+K4VQ==" saltValue="aWeOD7lOzhNVnMhQrUs6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4226</v>
      </c>
      <c r="J9" s="194">
        <v>2528</v>
      </c>
      <c r="K9" s="194">
        <v>2345</v>
      </c>
      <c r="L9" s="194">
        <v>4414</v>
      </c>
      <c r="M9" s="194">
        <v>400</v>
      </c>
      <c r="N9" s="194">
        <v>1445</v>
      </c>
      <c r="O9" s="194">
        <v>800</v>
      </c>
      <c r="P9" s="194">
        <v>348</v>
      </c>
      <c r="Q9" s="194">
        <v>438</v>
      </c>
      <c r="R9" s="194">
        <v>7048</v>
      </c>
      <c r="S9" s="194">
        <v>4636</v>
      </c>
      <c r="T9" s="194">
        <v>2182</v>
      </c>
      <c r="U9" s="194">
        <v>2456</v>
      </c>
      <c r="V9" s="194">
        <v>4362</v>
      </c>
      <c r="W9" s="194">
        <v>492</v>
      </c>
      <c r="X9" s="201">
        <v>1411</v>
      </c>
      <c r="Y9" s="204">
        <v>134</v>
      </c>
      <c r="Z9" s="194">
        <v>163</v>
      </c>
      <c r="AA9" s="194">
        <v>128</v>
      </c>
      <c r="AB9" s="194">
        <v>164</v>
      </c>
      <c r="AC9" s="194">
        <v>0</v>
      </c>
      <c r="AD9" s="194">
        <v>0</v>
      </c>
      <c r="AE9" s="194">
        <v>0</v>
      </c>
      <c r="AF9" s="201">
        <v>0</v>
      </c>
      <c r="AG9" s="204">
        <v>174</v>
      </c>
      <c r="AH9" s="194">
        <v>102</v>
      </c>
      <c r="AI9" s="194">
        <v>134</v>
      </c>
      <c r="AJ9" s="205">
        <v>142</v>
      </c>
      <c r="AK9" s="193">
        <v>0</v>
      </c>
      <c r="AL9" s="194">
        <v>0</v>
      </c>
      <c r="AM9" s="194">
        <v>0</v>
      </c>
      <c r="AN9" s="201">
        <v>0</v>
      </c>
      <c r="AO9" s="282">
        <v>5</v>
      </c>
      <c r="AP9" s="167">
        <v>5</v>
      </c>
      <c r="AQ9" s="167">
        <v>5</v>
      </c>
      <c r="AR9" s="206">
        <v>5</v>
      </c>
      <c r="AS9" s="379" t="s">
        <v>1064</v>
      </c>
      <c r="AT9" s="208"/>
      <c r="AU9" s="207"/>
      <c r="AV9" s="208"/>
      <c r="AW9" s="207"/>
      <c r="AX9" s="208"/>
      <c r="AY9" s="133">
        <f>IF(ISNUMBER(IF(J_V="SI",S9,S9+AG9)),IF(J_V="SI",S9,S9+AG9)," - ")</f>
        <v>4810</v>
      </c>
      <c r="AZ9" s="133">
        <f>IF(ISNUMBER(IF(J_V="SI",T9,T9+AH9)),IF(J_V="SI",T9,T9+AH9)," - ")</f>
        <v>2284</v>
      </c>
      <c r="BA9" s="134">
        <f>IF(ISNUMBER(IF(J_V="SI",U9,U9+AI9)),IF(J_V="SI",U9,U9+AI9)," - ")</f>
        <v>2590</v>
      </c>
      <c r="BB9" s="134">
        <f>IF(ISNUMBER(IF(J_V="SI",V9,V9+AJ9)),IF(J_V="SI",V9,V9+AJ9)," - ")</f>
        <v>4504</v>
      </c>
      <c r="BC9" s="135">
        <f>IF(ISNUMBER(X9),X9," - ")</f>
        <v>1411</v>
      </c>
      <c r="BD9" s="136">
        <f>IF(ISNUMBER(BA9/AZ9),BA9/AZ9," - ")</f>
        <v>1.1339754816112084</v>
      </c>
      <c r="BE9" s="137">
        <f>IF(ISNUMBER(BB9/BA9),BB9/BA9, " - ")</f>
        <v>1.738996138996139</v>
      </c>
      <c r="BF9" s="137">
        <f>IF(ISNUMBER(BC9/BA9),BC9/BA9, " - ")</f>
        <v>0.54478764478764474</v>
      </c>
      <c r="BG9" s="209">
        <f>IF(ISNUMBER((AY9+AZ9)/BA9),(AY9+AZ9)/BA9," - ")</f>
        <v>2.7389961389961388</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25</v>
      </c>
      <c r="J10" s="194">
        <v>31</v>
      </c>
      <c r="K10" s="194">
        <v>31</v>
      </c>
      <c r="L10" s="194">
        <v>25</v>
      </c>
      <c r="M10" s="194">
        <v>11</v>
      </c>
      <c r="N10" s="194">
        <v>16</v>
      </c>
      <c r="O10" s="194">
        <v>0</v>
      </c>
      <c r="P10" s="194">
        <v>2</v>
      </c>
      <c r="Q10" s="194">
        <v>1</v>
      </c>
      <c r="R10" s="194">
        <v>18</v>
      </c>
      <c r="S10" s="194">
        <v>43</v>
      </c>
      <c r="T10" s="194">
        <v>20</v>
      </c>
      <c r="U10" s="194">
        <v>36</v>
      </c>
      <c r="V10" s="194">
        <v>27</v>
      </c>
      <c r="W10" s="194">
        <v>17</v>
      </c>
      <c r="X10" s="201">
        <v>17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1058</v>
      </c>
      <c r="AT10" s="205"/>
      <c r="AU10" s="213"/>
      <c r="AV10" s="205"/>
      <c r="AW10" s="213"/>
      <c r="AX10" s="205"/>
      <c r="AY10" s="138">
        <f t="shared" ref="AY10:BC10" si="0">IF(ISNUMBER(S10),S10," - ")</f>
        <v>43</v>
      </c>
      <c r="AZ10" s="139">
        <f t="shared" si="0"/>
        <v>20</v>
      </c>
      <c r="BA10" s="139">
        <f t="shared" si="0"/>
        <v>36</v>
      </c>
      <c r="BB10" s="139">
        <f t="shared" si="0"/>
        <v>27</v>
      </c>
      <c r="BC10" s="135">
        <f t="shared" si="0"/>
        <v>17</v>
      </c>
      <c r="BD10" s="136">
        <f>IF(ISNUMBER(BA10/AZ10),BA10/AZ10," - ")</f>
        <v>1.8</v>
      </c>
      <c r="BE10" s="137">
        <f>IF(ISNUMBER(BB10/BA10),BB10/BA10, " - ")</f>
        <v>0.75</v>
      </c>
      <c r="BF10" s="137">
        <f>IF(ISNUMBER(BC10/BA10),BC10/BA10, " - ")</f>
        <v>0.47222222222222221</v>
      </c>
      <c r="BG10" s="209">
        <f>IF(ISNUMBER((AY10+AZ10)/BA10),(AY10+AZ10)/BA10," - ")</f>
        <v>1.75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1073</v>
      </c>
      <c r="J11" s="196" t="s">
        <v>1065</v>
      </c>
      <c r="K11" s="196" t="s">
        <v>1127</v>
      </c>
      <c r="L11" s="196" t="s">
        <v>1078</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v>
      </c>
      <c r="J12" s="196">
        <v>0</v>
      </c>
      <c r="K12" s="196">
        <v>0</v>
      </c>
      <c r="L12" s="196">
        <v>1</v>
      </c>
      <c r="M12" s="196">
        <v>0</v>
      </c>
      <c r="N12" s="196">
        <v>0</v>
      </c>
      <c r="O12" s="194">
        <v>17</v>
      </c>
      <c r="P12" s="196">
        <v>0</v>
      </c>
      <c r="Q12" s="196">
        <v>17</v>
      </c>
      <c r="R12" s="196">
        <v>724</v>
      </c>
      <c r="S12" s="196">
        <v>2</v>
      </c>
      <c r="T12" s="196">
        <v>0</v>
      </c>
      <c r="U12" s="196">
        <v>1</v>
      </c>
      <c r="V12" s="196">
        <v>1</v>
      </c>
      <c r="W12" s="196">
        <v>0</v>
      </c>
      <c r="X12" s="202">
        <v>0</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1067</v>
      </c>
      <c r="AT12" s="216"/>
      <c r="AU12" s="215"/>
      <c r="AV12" s="216"/>
      <c r="AW12" s="215"/>
      <c r="AX12" s="216"/>
      <c r="AY12" s="136">
        <f t="shared" si="1"/>
        <v>2</v>
      </c>
      <c r="AZ12" s="137">
        <f t="shared" si="1"/>
        <v>0</v>
      </c>
      <c r="BA12" s="137">
        <f t="shared" si="1"/>
        <v>1</v>
      </c>
      <c r="BB12" s="137">
        <f t="shared" si="1"/>
        <v>1</v>
      </c>
      <c r="BC12" s="135">
        <f>IF(ISNUMBER(X12),X12," - ")</f>
        <v>0</v>
      </c>
      <c r="BD12" s="136" t="str">
        <f t="shared" si="2"/>
        <v xml:space="preserve"> - </v>
      </c>
      <c r="BE12" s="137">
        <f t="shared" si="3"/>
        <v>1</v>
      </c>
      <c r="BF12" s="137">
        <f t="shared" si="4"/>
        <v>0</v>
      </c>
      <c r="BG12" s="209">
        <f t="shared" si="5"/>
        <v>2</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4252</v>
      </c>
      <c r="J14" s="197">
        <f t="shared" si="7"/>
        <v>2559</v>
      </c>
      <c r="K14" s="197">
        <f t="shared" si="7"/>
        <v>2376</v>
      </c>
      <c r="L14" s="197">
        <f t="shared" si="7"/>
        <v>4440</v>
      </c>
      <c r="M14" s="197">
        <f t="shared" si="7"/>
        <v>411</v>
      </c>
      <c r="N14" s="197">
        <f t="shared" si="7"/>
        <v>1461</v>
      </c>
      <c r="O14" s="197">
        <f t="shared" si="7"/>
        <v>817</v>
      </c>
      <c r="P14" s="197">
        <f t="shared" si="7"/>
        <v>350</v>
      </c>
      <c r="Q14" s="197">
        <f t="shared" si="7"/>
        <v>456</v>
      </c>
      <c r="R14" s="197">
        <f t="shared" si="7"/>
        <v>7790</v>
      </c>
      <c r="S14" s="197">
        <f t="shared" si="7"/>
        <v>4681</v>
      </c>
      <c r="T14" s="197">
        <f t="shared" si="7"/>
        <v>2202</v>
      </c>
      <c r="U14" s="197">
        <f t="shared" si="7"/>
        <v>2493</v>
      </c>
      <c r="V14" s="197">
        <f t="shared" si="7"/>
        <v>4390</v>
      </c>
      <c r="W14" s="197">
        <f t="shared" si="7"/>
        <v>509</v>
      </c>
      <c r="X14" s="197">
        <f t="shared" si="7"/>
        <v>1428</v>
      </c>
      <c r="Y14" s="197">
        <f t="shared" si="7"/>
        <v>134</v>
      </c>
      <c r="Z14" s="197">
        <f t="shared" si="7"/>
        <v>163</v>
      </c>
      <c r="AA14" s="197">
        <f t="shared" si="7"/>
        <v>128</v>
      </c>
      <c r="AB14" s="197">
        <f t="shared" si="7"/>
        <v>164</v>
      </c>
      <c r="AC14" s="197">
        <f t="shared" si="7"/>
        <v>0</v>
      </c>
      <c r="AD14" s="197">
        <f t="shared" si="7"/>
        <v>0</v>
      </c>
      <c r="AE14" s="197">
        <f t="shared" si="7"/>
        <v>0</v>
      </c>
      <c r="AF14" s="197">
        <f>SUBTOTAL(9,AF9:AF13)</f>
        <v>0</v>
      </c>
      <c r="AG14" s="197">
        <f t="shared" ref="AG14:AT14" si="8">SUBTOTAL(9,AG8:AG13)</f>
        <v>174</v>
      </c>
      <c r="AH14" s="197">
        <f t="shared" si="8"/>
        <v>102</v>
      </c>
      <c r="AI14" s="197">
        <f t="shared" si="8"/>
        <v>134</v>
      </c>
      <c r="AJ14" s="197">
        <f t="shared" si="8"/>
        <v>142</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4855</v>
      </c>
      <c r="AZ14" s="197">
        <f>SUBTOTAL(9,AZ8:AZ13)</f>
        <v>2304</v>
      </c>
      <c r="BA14" s="197">
        <f>SUBTOTAL(9,BA8:BA13)</f>
        <v>2627</v>
      </c>
      <c r="BB14" s="197">
        <f>SUBTOTAL(9,BB8:BB13)</f>
        <v>4532</v>
      </c>
      <c r="BC14" s="197">
        <f>SUBTOTAL(9,BC8:BC13)</f>
        <v>1428</v>
      </c>
      <c r="BD14" s="219">
        <f>IF(ISNUMBER(BA14/AZ14),BA14/AZ14," - ")</f>
        <v>1.1401909722222223</v>
      </c>
      <c r="BE14" s="220">
        <f>IF(ISNUMBER(BB14/BA14),BB14/BA14, " - ")</f>
        <v>1.7251617814998097</v>
      </c>
      <c r="BF14" s="220">
        <f>IF(ISNUMBER(BC14/BA14),BC14/BA14, " - ")</f>
        <v>0.54358583936048721</v>
      </c>
      <c r="BG14" s="221">
        <f>IF(ISNUMBER((AY14+AZ14)/BA14),(AY14+AZ14)/BA14," - ")</f>
        <v>2.7251617814998097</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1465</v>
      </c>
      <c r="J16" s="196">
        <v>3504</v>
      </c>
      <c r="K16" s="196">
        <v>3473</v>
      </c>
      <c r="L16" s="196">
        <v>1543</v>
      </c>
      <c r="M16" s="196">
        <v>392</v>
      </c>
      <c r="N16" s="196">
        <v>2298</v>
      </c>
      <c r="O16" s="194">
        <v>73</v>
      </c>
      <c r="P16" s="196">
        <v>90</v>
      </c>
      <c r="Q16" s="196">
        <v>119</v>
      </c>
      <c r="R16" s="196">
        <v>382</v>
      </c>
      <c r="S16" s="196">
        <v>1978</v>
      </c>
      <c r="T16" s="196">
        <v>4001</v>
      </c>
      <c r="U16" s="196">
        <v>4200</v>
      </c>
      <c r="V16" s="196">
        <v>1793</v>
      </c>
      <c r="W16" s="196">
        <v>407</v>
      </c>
      <c r="X16" s="202">
        <v>3023</v>
      </c>
      <c r="Y16" s="215">
        <v>0</v>
      </c>
      <c r="Z16" s="196">
        <v>0</v>
      </c>
      <c r="AA16" s="196">
        <v>0</v>
      </c>
      <c r="AB16" s="196">
        <v>0</v>
      </c>
      <c r="AC16" s="196">
        <v>0</v>
      </c>
      <c r="AD16" s="196">
        <v>159</v>
      </c>
      <c r="AE16" s="196">
        <v>159</v>
      </c>
      <c r="AF16" s="202">
        <v>0</v>
      </c>
      <c r="AG16" s="215">
        <v>0</v>
      </c>
      <c r="AH16" s="196">
        <v>0</v>
      </c>
      <c r="AI16" s="196">
        <v>0</v>
      </c>
      <c r="AJ16" s="216">
        <v>0</v>
      </c>
      <c r="AK16" s="195">
        <v>0</v>
      </c>
      <c r="AL16" s="196">
        <v>257</v>
      </c>
      <c r="AM16" s="196">
        <v>205</v>
      </c>
      <c r="AN16" s="202">
        <v>52</v>
      </c>
      <c r="AO16" s="283">
        <v>4</v>
      </c>
      <c r="AP16" s="168">
        <v>4</v>
      </c>
      <c r="AQ16" s="168">
        <v>4</v>
      </c>
      <c r="AR16" s="168">
        <v>4</v>
      </c>
      <c r="AS16" s="381" t="s">
        <v>694</v>
      </c>
      <c r="AT16" s="216" t="s">
        <v>424</v>
      </c>
      <c r="AU16" s="215"/>
      <c r="AV16" s="216"/>
      <c r="AW16" s="215"/>
      <c r="AX16" s="216"/>
      <c r="AY16" s="138">
        <f t="shared" ref="AY16:BB17" si="10">IF(ISNUMBER(IF(D_I="SI",S16,S16+AK16)),IF(D_I="SI",S16,S16+AK16)," - ")</f>
        <v>1978</v>
      </c>
      <c r="AZ16" s="139">
        <f t="shared" si="10"/>
        <v>4001</v>
      </c>
      <c r="BA16" s="139">
        <f t="shared" si="10"/>
        <v>4200</v>
      </c>
      <c r="BB16" s="139">
        <f t="shared" si="10"/>
        <v>1793</v>
      </c>
      <c r="BC16" s="135">
        <f>IF(ISNUMBER(W16),W16," - ")</f>
        <v>407</v>
      </c>
      <c r="BD16" s="136">
        <f>IF(ISNUMBER(BA16/AZ16),BA16/AZ16," - ")</f>
        <v>1.0497375656085979</v>
      </c>
      <c r="BE16" s="137">
        <f>IF(ISNUMBER(BB16/BA16),BB16/BA16, " - ")</f>
        <v>0.4269047619047619</v>
      </c>
      <c r="BF16" s="137">
        <f>IF(ISNUMBER(BC16/BA16),BC16/BA16, " - ")</f>
        <v>9.690476190476191E-2</v>
      </c>
      <c r="BG16" s="209">
        <f t="shared" ref="BG16:BG22" si="11">IF(ISNUMBER((AY16+AZ16)/BA16),(AY16+AZ16)/BA16," - ")</f>
        <v>1.4235714285714285</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v>
      </c>
      <c r="J17" s="196">
        <v>0</v>
      </c>
      <c r="K17" s="196">
        <v>0</v>
      </c>
      <c r="L17" s="196">
        <v>1</v>
      </c>
      <c r="M17" s="196">
        <v>0</v>
      </c>
      <c r="N17" s="196">
        <v>0</v>
      </c>
      <c r="O17" s="194">
        <v>0</v>
      </c>
      <c r="P17" s="196">
        <v>0</v>
      </c>
      <c r="Q17" s="196">
        <v>0</v>
      </c>
      <c r="R17" s="196">
        <v>0</v>
      </c>
      <c r="S17" s="196">
        <v>1</v>
      </c>
      <c r="T17" s="196">
        <v>0</v>
      </c>
      <c r="U17" s="196">
        <v>0</v>
      </c>
      <c r="V17" s="196">
        <v>1</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1</v>
      </c>
      <c r="AZ17" s="137">
        <f t="shared" si="10"/>
        <v>0</v>
      </c>
      <c r="BA17" s="137">
        <f t="shared" si="10"/>
        <v>0</v>
      </c>
      <c r="BB17" s="137">
        <f t="shared" si="10"/>
        <v>1</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143</v>
      </c>
      <c r="J18" s="196">
        <v>129</v>
      </c>
      <c r="K18" s="196">
        <v>137</v>
      </c>
      <c r="L18" s="196">
        <v>104</v>
      </c>
      <c r="M18" s="196">
        <v>46</v>
      </c>
      <c r="N18" s="196">
        <v>49</v>
      </c>
      <c r="O18" s="196">
        <v>4</v>
      </c>
      <c r="P18" s="196">
        <v>5</v>
      </c>
      <c r="Q18" s="196">
        <v>4</v>
      </c>
      <c r="R18" s="196">
        <v>46</v>
      </c>
      <c r="S18" s="196">
        <v>146</v>
      </c>
      <c r="T18" s="196">
        <v>129</v>
      </c>
      <c r="U18" s="196">
        <v>138</v>
      </c>
      <c r="V18" s="196">
        <v>137</v>
      </c>
      <c r="W18" s="196">
        <v>36</v>
      </c>
      <c r="X18" s="202">
        <v>67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1057</v>
      </c>
      <c r="AT18" s="223"/>
      <c r="AU18" s="213"/>
      <c r="AV18" s="223"/>
      <c r="AW18" s="213"/>
      <c r="AX18" s="223"/>
      <c r="AY18" s="138">
        <f t="shared" ref="AY18:BB19" si="15">IF(ISNUMBER(S18),S18," - ")</f>
        <v>146</v>
      </c>
      <c r="AZ18" s="139">
        <f t="shared" si="15"/>
        <v>129</v>
      </c>
      <c r="BA18" s="139">
        <f t="shared" si="15"/>
        <v>138</v>
      </c>
      <c r="BB18" s="139">
        <f t="shared" si="15"/>
        <v>137</v>
      </c>
      <c r="BC18" s="135">
        <f>IF(ISNUMBER(W18),W18," - ")</f>
        <v>36</v>
      </c>
      <c r="BD18" s="136">
        <f>IF(ISNUMBER(BA18/AZ18),BA18/AZ18," - ")</f>
        <v>1.069767441860465</v>
      </c>
      <c r="BE18" s="137">
        <f>IF(ISNUMBER(BB18/BA18),BB18/BA18, " - ")</f>
        <v>0.99275362318840576</v>
      </c>
      <c r="BF18" s="137">
        <f>IF(ISNUMBER(BC18/BA18),BC18/BA18, " - ")</f>
        <v>0.2608695652173913</v>
      </c>
      <c r="BG18" s="209">
        <f>IF(ISNUMBER((AY18+AZ18)/BA18),(AY18+AZ18)/BA18," - ")</f>
        <v>1.9927536231884058</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1609</v>
      </c>
      <c r="J23" s="197">
        <f t="shared" si="21"/>
        <v>3633</v>
      </c>
      <c r="K23" s="197">
        <f t="shared" si="21"/>
        <v>3610</v>
      </c>
      <c r="L23" s="197">
        <f t="shared" si="21"/>
        <v>1648</v>
      </c>
      <c r="M23" s="197">
        <f t="shared" si="21"/>
        <v>438</v>
      </c>
      <c r="N23" s="197">
        <f t="shared" si="21"/>
        <v>2347</v>
      </c>
      <c r="O23" s="197">
        <f t="shared" si="21"/>
        <v>77</v>
      </c>
      <c r="P23" s="197">
        <f t="shared" si="21"/>
        <v>95</v>
      </c>
      <c r="Q23" s="197">
        <f t="shared" si="21"/>
        <v>123</v>
      </c>
      <c r="R23" s="197">
        <f t="shared" si="21"/>
        <v>428</v>
      </c>
      <c r="S23" s="197">
        <f t="shared" si="21"/>
        <v>2125</v>
      </c>
      <c r="T23" s="197">
        <f t="shared" si="21"/>
        <v>4130</v>
      </c>
      <c r="U23" s="197">
        <f t="shared" si="21"/>
        <v>4338</v>
      </c>
      <c r="V23" s="197">
        <f t="shared" si="21"/>
        <v>1931</v>
      </c>
      <c r="W23" s="197">
        <f t="shared" si="21"/>
        <v>443</v>
      </c>
      <c r="X23" s="197">
        <f t="shared" si="21"/>
        <v>3090</v>
      </c>
      <c r="Y23" s="197">
        <f t="shared" si="21"/>
        <v>0</v>
      </c>
      <c r="Z23" s="197">
        <f t="shared" si="21"/>
        <v>0</v>
      </c>
      <c r="AA23" s="197">
        <f t="shared" si="21"/>
        <v>0</v>
      </c>
      <c r="AB23" s="197">
        <f t="shared" si="21"/>
        <v>0</v>
      </c>
      <c r="AC23" s="197">
        <f t="shared" si="21"/>
        <v>0</v>
      </c>
      <c r="AD23" s="197">
        <f t="shared" si="21"/>
        <v>159</v>
      </c>
      <c r="AE23" s="197">
        <f t="shared" si="21"/>
        <v>159</v>
      </c>
      <c r="AF23" s="197">
        <f t="shared" si="21"/>
        <v>0</v>
      </c>
      <c r="AG23" s="197">
        <f t="shared" si="21"/>
        <v>0</v>
      </c>
      <c r="AH23" s="197">
        <f t="shared" si="21"/>
        <v>0</v>
      </c>
      <c r="AI23" s="197">
        <f t="shared" si="21"/>
        <v>0</v>
      </c>
      <c r="AJ23" s="197">
        <f t="shared" si="21"/>
        <v>0</v>
      </c>
      <c r="AK23" s="197">
        <f t="shared" si="21"/>
        <v>0</v>
      </c>
      <c r="AL23" s="197">
        <f t="shared" si="21"/>
        <v>257</v>
      </c>
      <c r="AM23" s="197">
        <f t="shared" si="21"/>
        <v>205</v>
      </c>
      <c r="AN23" s="197">
        <f t="shared" si="21"/>
        <v>52</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2125</v>
      </c>
      <c r="AZ23" s="197">
        <f>SUBTOTAL(9,AZ15:AZ22)</f>
        <v>4130</v>
      </c>
      <c r="BA23" s="197">
        <f>SUBTOTAL(9,BA15:BA22)</f>
        <v>4338</v>
      </c>
      <c r="BB23" s="197">
        <f>SUBTOTAL(9,BB15:BB22)</f>
        <v>1931</v>
      </c>
      <c r="BC23" s="197">
        <f>SUBTOTAL(9,BC15:BC22)</f>
        <v>443</v>
      </c>
      <c r="BD23" s="219">
        <f>IF(ISNUMBER(BA23/AZ23),BA23/AZ23," - ")</f>
        <v>1.0503631961259079</v>
      </c>
      <c r="BE23" s="220">
        <f>IF(ISNUMBER(BB23/BA23),BB23/BA23, " - ")</f>
        <v>0.44513600737667125</v>
      </c>
      <c r="BF23" s="220">
        <f>IF(ISNUMBER(BC23/BA23),BC23/BA23, " - ")</f>
        <v>0.10212079299216228</v>
      </c>
      <c r="BG23" s="221">
        <f>IF(ISNUMBER((AY23+AZ23)/BA23),(AY23+AZ23)/BA23," - ")</f>
        <v>1.441908713692946</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5861</v>
      </c>
      <c r="J31" s="144">
        <f t="shared" si="36"/>
        <v>6192</v>
      </c>
      <c r="K31" s="144">
        <f t="shared" si="36"/>
        <v>5986</v>
      </c>
      <c r="L31" s="144">
        <f t="shared" si="36"/>
        <v>6088</v>
      </c>
      <c r="M31" s="144">
        <f t="shared" si="36"/>
        <v>849</v>
      </c>
      <c r="N31" s="144">
        <f t="shared" si="36"/>
        <v>3808</v>
      </c>
      <c r="O31" s="144">
        <f t="shared" si="36"/>
        <v>894</v>
      </c>
      <c r="P31" s="144">
        <f t="shared" si="36"/>
        <v>445</v>
      </c>
      <c r="Q31" s="144">
        <f t="shared" si="36"/>
        <v>579</v>
      </c>
      <c r="R31" s="144">
        <f t="shared" si="36"/>
        <v>8218</v>
      </c>
      <c r="S31" s="144">
        <f t="shared" si="36"/>
        <v>6806</v>
      </c>
      <c r="T31" s="144">
        <f t="shared" si="36"/>
        <v>6332</v>
      </c>
      <c r="U31" s="144">
        <f t="shared" si="36"/>
        <v>6831</v>
      </c>
      <c r="V31" s="144">
        <f t="shared" si="36"/>
        <v>6321</v>
      </c>
      <c r="W31" s="144">
        <f t="shared" si="36"/>
        <v>952</v>
      </c>
      <c r="X31" s="144">
        <f t="shared" si="36"/>
        <v>4518</v>
      </c>
      <c r="Y31" s="144">
        <f t="shared" si="36"/>
        <v>134</v>
      </c>
      <c r="Z31" s="144">
        <f t="shared" si="36"/>
        <v>163</v>
      </c>
      <c r="AA31" s="144">
        <f t="shared" si="36"/>
        <v>128</v>
      </c>
      <c r="AB31" s="144">
        <f t="shared" si="36"/>
        <v>164</v>
      </c>
      <c r="AC31" s="144">
        <f t="shared" si="36"/>
        <v>0</v>
      </c>
      <c r="AD31" s="144">
        <f t="shared" si="36"/>
        <v>159</v>
      </c>
      <c r="AE31" s="144">
        <f t="shared" si="36"/>
        <v>159</v>
      </c>
      <c r="AF31" s="144">
        <f t="shared" si="36"/>
        <v>0</v>
      </c>
      <c r="AG31" s="144">
        <f t="shared" si="36"/>
        <v>174</v>
      </c>
      <c r="AH31" s="144">
        <f t="shared" si="36"/>
        <v>102</v>
      </c>
      <c r="AI31" s="144">
        <f t="shared" si="36"/>
        <v>134</v>
      </c>
      <c r="AJ31" s="144">
        <f t="shared" si="36"/>
        <v>142</v>
      </c>
      <c r="AK31" s="144">
        <f t="shared" si="36"/>
        <v>0</v>
      </c>
      <c r="AL31" s="144">
        <f t="shared" si="36"/>
        <v>257</v>
      </c>
      <c r="AM31" s="144">
        <f t="shared" si="36"/>
        <v>205</v>
      </c>
      <c r="AN31" s="224">
        <f t="shared" si="36"/>
        <v>52</v>
      </c>
      <c r="AO31" s="225">
        <v>10</v>
      </c>
      <c r="AP31" s="225">
        <v>9</v>
      </c>
      <c r="AQ31" s="225">
        <v>9</v>
      </c>
      <c r="AR31" s="225">
        <v>9</v>
      </c>
      <c r="AS31" s="166">
        <f t="shared" si="36"/>
        <v>0</v>
      </c>
      <c r="AT31" s="166">
        <f t="shared" si="36"/>
        <v>0</v>
      </c>
      <c r="AU31" s="225"/>
      <c r="AV31" s="226"/>
      <c r="AW31" s="225"/>
      <c r="AX31" s="226"/>
      <c r="AY31" s="143">
        <f>SUBTOTAL(9,AY9:AY30)</f>
        <v>6980</v>
      </c>
      <c r="AZ31" s="144">
        <f>SUBTOTAL(9,AZ9:AZ30)</f>
        <v>6434</v>
      </c>
      <c r="BA31" s="144">
        <f>SUBTOTAL(9,BA9:BA30)</f>
        <v>6965</v>
      </c>
      <c r="BB31" s="144">
        <f>SUBTOTAL(9,BB9:BB30)</f>
        <v>6463</v>
      </c>
      <c r="BC31" s="145">
        <f>SUBTOTAL(9,BC9:BC30)</f>
        <v>1871</v>
      </c>
      <c r="BD31" s="227">
        <f>IF(ISNUMBER(BA31/AZ31),BA31/AZ31," - ")</f>
        <v>1.0825303077401305</v>
      </c>
      <c r="BE31" s="224">
        <f>IF(ISNUMBER(BB31/BA31),BB31/BA31, " - ")</f>
        <v>0.92792534099066759</v>
      </c>
      <c r="BF31" s="224">
        <f>IF(ISNUMBER(BC31/BA31),BC31/BA31, " - ")</f>
        <v>0.2686288585786073</v>
      </c>
      <c r="BG31" s="145">
        <f>IF(ISNUMBER((AY31+AZ31)/BA31),(AY31+AZ31)/BA31," - ")</f>
        <v>1.9259152907394113</v>
      </c>
      <c r="BH31" s="225">
        <f>SUBTOTAL(9,BH9:BH30)</f>
        <v>11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Ns7XHanCtZYZjXBt0SzpXMShdKxORIRb8/z1MXhxjW5uB+dtiI4V2kHAa6Iq+u3Jdm3HJD97whTyBQxq6gSYA==" saltValue="W1FG6pJ0Js6AAtjb4BUWx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QHROWdxbIP+rPB6YAa9dXEa9rempKKZpqC0MUAWEX9dOQbpfqCo1WHoGM2IJ191dVATMPRt9+bofELknZ5N2g==" saltValue="OwZ9EV5hyCYsObECt+VlR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LAS PALMAS  Resumenes por Partidos Judiciales  ARRECIFE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163</v>
      </c>
      <c r="O9" s="549"/>
      <c r="P9" s="549"/>
      <c r="Q9" s="547">
        <f>IF(ISNUMBER(Datos!P9),Datos!P9,0)</f>
        <v>348</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438</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164</v>
      </c>
      <c r="AI9" s="549" t="str">
        <f>IF(ISNUMBER(Datos!CD9),Datos!CD9,"-")</f>
        <v>-</v>
      </c>
      <c r="AJ9" s="549" t="str">
        <f>IF(ISNUMBER(Datos!EN9),Datos!EN9," - ")</f>
        <v xml:space="preserve"> - </v>
      </c>
      <c r="AK9" s="549"/>
      <c r="AL9" s="550"/>
      <c r="AM9" s="766">
        <f>IF(ISNUMBER(Datos!R9),Datos!R9," - ")</f>
        <v>7048</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400</v>
      </c>
      <c r="BD9" s="693">
        <f>IF(ISNUMBER(Datos!N9),Datos!N9," - ")</f>
        <v>1445</v>
      </c>
      <c r="BE9" s="693" t="str">
        <f>IF(ISNUMBER(Datos!BW9),Datos!BW9," - ")</f>
        <v xml:space="preserve"> - </v>
      </c>
      <c r="BF9" s="762" t="str">
        <f>IF(ISNUMBER(Datos!BX9),Datos!BX9," - ")</f>
        <v xml:space="preserve"> - </v>
      </c>
      <c r="BG9" s="763">
        <f>IF(ISNUMBER(IF(J_V="SI",Datos!K9/Datos!J9,(Datos!K9+Datos!AA9)/(Datos!J9+Datos!Z9))),IF(J_V="SI",Datos!K9/Datos!J9,(Datos!K9+Datos!AA9)/(Datos!J9+Datos!Z9))," - ")</f>
        <v>0.91898922333704947</v>
      </c>
      <c r="BH9" s="764">
        <f>IF(ISNUMBER(((IF(J_V="SI",Datos!L9/Datos!K9,(Datos!L9+Datos!AB9)/(Datos!K9+Datos!AA9)))*11)/factor_trimestre),((IF(J_V="SI",Datos!L9/Datos!K9,(Datos!L9+Datos!AB9)/(Datos!K9+Datos!AA9)))*11)/factor_trimestre," - ")</f>
        <v>5.5535786494136676</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-1.2608573830204538E-2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25</v>
      </c>
      <c r="G10" s="543">
        <f>IF(ISNUMBER(Datos!I10),Datos!I10," - ")</f>
        <v>25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31</v>
      </c>
      <c r="AC10" s="547">
        <f>IF(ISNUMBER(Datos!Q10),Datos!Q10," - ")</f>
        <v>1</v>
      </c>
      <c r="AD10" s="549"/>
      <c r="AE10" s="563"/>
      <c r="AF10" s="551">
        <f>IF(ISNUMBER(Datos!L10),Datos!L10,"-")</f>
        <v>25</v>
      </c>
      <c r="AG10" s="549"/>
      <c r="AH10" s="549"/>
      <c r="AI10" s="549"/>
      <c r="AJ10" s="549"/>
      <c r="AK10" s="549"/>
      <c r="AL10" s="550"/>
      <c r="AM10" s="766">
        <f>IF(ISNUMBER(Datos!R10),Datos!R10," - ")</f>
        <v>18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11</v>
      </c>
      <c r="BD10" s="693">
        <f>IF(ISNUMBER(Datos!N10),Datos!N10," - ")</f>
        <v>16</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2.4193548387096775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5.8823529411764705E-2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724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-2.2941970310391364E-2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25</v>
      </c>
      <c r="G14" s="1197">
        <f t="shared" si="1"/>
        <v>25</v>
      </c>
      <c r="H14" s="1198">
        <f t="shared" si="1"/>
        <v>0</v>
      </c>
      <c r="I14" s="1197">
        <f t="shared" si="1"/>
        <v>0</v>
      </c>
      <c r="J14" s="1164">
        <f t="shared" si="1"/>
        <v>0</v>
      </c>
      <c r="K14" s="1164">
        <f t="shared" si="1"/>
        <v>0</v>
      </c>
      <c r="L14" s="1198">
        <f t="shared" si="1"/>
        <v>0</v>
      </c>
      <c r="M14" s="1198">
        <f t="shared" si="1"/>
        <v>0</v>
      </c>
      <c r="N14" s="1198">
        <f t="shared" si="1"/>
        <v>163</v>
      </c>
      <c r="O14" s="1199">
        <f t="shared" si="1"/>
        <v>0</v>
      </c>
      <c r="P14" s="1199">
        <f t="shared" si="1"/>
        <v>0</v>
      </c>
      <c r="Q14" s="1198">
        <f t="shared" si="1"/>
        <v>350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31</v>
      </c>
      <c r="AC14" s="1198">
        <f t="shared" si="2"/>
        <v>456</v>
      </c>
      <c r="AD14" s="1198">
        <f t="shared" si="2"/>
        <v>0</v>
      </c>
      <c r="AE14" s="1198">
        <f t="shared" si="2"/>
        <v>0</v>
      </c>
      <c r="AF14" s="1198">
        <f t="shared" si="2"/>
        <v>25</v>
      </c>
      <c r="AG14" s="1198">
        <f t="shared" si="2"/>
        <v>0</v>
      </c>
      <c r="AH14" s="1198">
        <f t="shared" si="2"/>
        <v>164</v>
      </c>
      <c r="AI14" s="1198">
        <f t="shared" si="2"/>
        <v>0</v>
      </c>
      <c r="AJ14" s="1198">
        <f t="shared" si="2"/>
        <v>0</v>
      </c>
      <c r="AK14" s="1198">
        <f t="shared" si="2"/>
        <v>0</v>
      </c>
      <c r="AL14" s="1198">
        <f t="shared" si="2"/>
        <v>0</v>
      </c>
      <c r="AM14" s="1198">
        <f t="shared" si="2"/>
        <v>7790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411</v>
      </c>
      <c r="BD14" s="1198">
        <f t="shared" si="2"/>
        <v>1461</v>
      </c>
      <c r="BE14" s="1198">
        <f t="shared" si="2"/>
        <v>0</v>
      </c>
      <c r="BF14" s="1198">
        <f t="shared" si="2"/>
        <v>0</v>
      </c>
      <c r="BG14" s="1198">
        <f>IF(ISNUMBER(Datos!K14/Datos!J14),Datos!K14/Datos!J14," - ")</f>
        <v>0.92848769050410318</v>
      </c>
      <c r="BH14" s="1202">
        <f>IF(ISNUMBER(((Datos!L14/Datos!K14)*11)/factor_trimestre),((Datos!L14/Datos!K14)*11)/factor_trimestre," - ")</f>
        <v>5.6060606060606064</v>
      </c>
      <c r="BI14" s="1198">
        <f>IF(ISNUMBER('Resol  Asuntos'!D14/NºAsuntos!G14),'Resol  Asuntos'!D14/NºAsuntos!G14," - ")</f>
        <v>0.1641373801916933</v>
      </c>
      <c r="BJ14" s="1198" t="str">
        <f>IF(ISNUMBER(Datos!CI14/Datos!CJ14),Datos!CI14/Datos!CJ14," - ")</f>
        <v xml:space="preserve"> - </v>
      </c>
      <c r="BK14" s="1198">
        <f>SUBTOTAL(9,BK8:BK13)</f>
        <v>0</v>
      </c>
      <c r="BL14" s="1198">
        <f>IF(ISNUMBER((I14-AB14+L14)/(F14)),(I14-AB14+L14)/(F14)," - ")</f>
        <v>-1.24</v>
      </c>
      <c r="BM14" s="1203">
        <f>SUBTOTAL(9,BM9:BM13)</f>
        <v>2.3272985271168799E-2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1512</v>
      </c>
      <c r="G16" s="743">
        <f>IF(ISNUMBER(IF(D_I="SI",Datos!I16,Datos!I16+Datos!AC16)),IF(D_I="SI",Datos!I16,Datos!I16+Datos!AC16)," - ")</f>
        <v>1465</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90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3473</v>
      </c>
      <c r="AC16" s="240">
        <f>IF(ISNUMBER(Datos!Q16),Datos!Q16," - ")</f>
        <v>119</v>
      </c>
      <c r="AD16" s="374"/>
      <c r="AE16" s="562"/>
      <c r="AF16" s="741">
        <f>IF(ISNUMBER(IF(D_I="SI",Datos!L16,Datos!L16+Datos!AF16)),IF(D_I="SI",Datos!L16,Datos!L16+Datos!AF16)," - ")</f>
        <v>1543</v>
      </c>
      <c r="AG16" s="374"/>
      <c r="AH16" s="374"/>
      <c r="AI16" s="374"/>
      <c r="AJ16" s="549"/>
      <c r="AK16" s="374"/>
      <c r="AL16" s="545"/>
      <c r="AM16" s="375">
        <f>IF(ISNUMBER(Datos!R16),Datos!R16," - ")</f>
        <v>382</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392</v>
      </c>
      <c r="BD16" s="243">
        <f>IF(ISNUMBER(Datos!N16),Datos!N16," - ")</f>
        <v>2298</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0.99115296803652964</v>
      </c>
      <c r="BH16" s="764">
        <f>IF(ISNUMBER(((IF(D_I="SI",Datos!L16/Datos!K16,(Datos!L16+Datos!AF16)/(Datos!K16+Datos!AE16)))*11)/factor_trimestre),((IF(D_I="SI",Datos!L16/Datos!K16,(Datos!L16+Datos!AF16)/(Datos!K16+Datos!AE16)))*11)/factor_trimestre," - ")</f>
        <v>1.3328534408292543</v>
      </c>
      <c r="BI16" s="266">
        <f>IF(ISNUMBER('Resol  Asuntos'!D16/NºAsuntos!G16),'Resol  Asuntos'!D16/NºAsuntos!G16," - ")</f>
        <v>0.1128707169594011</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1</v>
      </c>
      <c r="G17" s="743">
        <f>IF(ISNUMBER(IF(D_I="SI",Datos!I17,Datos!I17+Datos!AC17)),IF(D_I="SI",Datos!I17,Datos!I17+Datos!AC17)," - ")</f>
        <v>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1</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137</v>
      </c>
      <c r="AC18" s="547">
        <f>IF(ISNUMBER(Datos!Q18),Datos!Q18," - ")</f>
        <v>4</v>
      </c>
      <c r="AD18" s="549"/>
      <c r="AE18" s="562"/>
      <c r="AF18" s="551">
        <f>IF(ISNUMBER(Datos!L18),Datos!L18,"-")</f>
        <v>104</v>
      </c>
      <c r="AG18" s="549"/>
      <c r="AH18" s="549"/>
      <c r="AI18" s="549"/>
      <c r="AJ18" s="549"/>
      <c r="AK18" s="549"/>
      <c r="AL18" s="550"/>
      <c r="AM18" s="766">
        <f>IF(ISNUMBER(Datos!R18),Datos!R18," - ")</f>
        <v>46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46</v>
      </c>
      <c r="BD18" s="693">
        <f>IF(ISNUMBER(Datos!N18),Datos!N18," - ")</f>
        <v>49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1.0620155038759691</v>
      </c>
      <c r="BH18" s="764">
        <f>IF(ISNUMBER(((IF(D_I="SI",Datos!L18/Datos!K18,(Datos!L18+Datos!AF18)/(Datos!K18+Datos!AE18)))*11)/factor_trimestre),((IF(D_I="SI",Datos!L18/Datos!K18,(Datos!L18+Datos!AF18)/(Datos!K18+Datos!AE18)))*11)/factor_trimestre," - ")</f>
        <v>2.2773722627737225</v>
      </c>
      <c r="BI18" s="763">
        <f>IF(ISNUMBER('Resol  Asuntos'!D18/NºAsuntos!G18),'Resol  Asuntos'!D18/NºAsuntos!G18," - ")</f>
        <v>0.33576642335766421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1513</v>
      </c>
      <c r="G23" s="1197">
        <f>SUBTOTAL(9,G16:G22)</f>
        <v>1609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3610</v>
      </c>
      <c r="AC23" s="1198">
        <f t="shared" si="5"/>
        <v>123</v>
      </c>
      <c r="AD23" s="1198">
        <f t="shared" si="5"/>
        <v>0</v>
      </c>
      <c r="AE23" s="1198">
        <f t="shared" si="5"/>
        <v>0</v>
      </c>
      <c r="AF23" s="1198">
        <f t="shared" si="5"/>
        <v>1648</v>
      </c>
      <c r="AG23" s="1198">
        <f t="shared" si="5"/>
        <v>0</v>
      </c>
      <c r="AH23" s="1198">
        <f t="shared" si="5"/>
        <v>0</v>
      </c>
      <c r="AI23" s="1198">
        <f t="shared" si="5"/>
        <v>0</v>
      </c>
      <c r="AJ23" s="1198">
        <f t="shared" si="5"/>
        <v>0</v>
      </c>
      <c r="AK23" s="1198">
        <f t="shared" si="5"/>
        <v>0</v>
      </c>
      <c r="AL23" s="1198">
        <f t="shared" si="5"/>
        <v>0</v>
      </c>
      <c r="AM23" s="1198">
        <f t="shared" si="5"/>
        <v>428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438</v>
      </c>
      <c r="BD23" s="1198">
        <f t="shared" si="5"/>
        <v>2347</v>
      </c>
      <c r="BE23" s="1198">
        <f t="shared" si="5"/>
        <v>0</v>
      </c>
      <c r="BF23" s="1198">
        <f t="shared" si="5"/>
        <v>0</v>
      </c>
      <c r="BG23" s="1198">
        <f>IF(ISNUMBER(Datos!K23/Datos!J23),Datos!K23/Datos!J23," - ")</f>
        <v>0.99366914395816131</v>
      </c>
      <c r="BH23" s="1202">
        <f>IF(ISNUMBER(((Datos!L23/Datos!K23)*11)/factor_trimestre),((Datos!L23/Datos!K23)*11)/factor_trimestre," - ")</f>
        <v>1.3695290858725764</v>
      </c>
      <c r="BI23" s="1198">
        <f>SUBTOTAL(9,BI16:BI22)</f>
        <v>0.44863714031706531</v>
      </c>
      <c r="BJ23" s="1198">
        <f>SUBTOTAL(9,BJ16:BJ22)</f>
        <v>0</v>
      </c>
      <c r="BK23" s="1198">
        <f>SUBTOTAL(9,BK16:BK22)</f>
        <v>0</v>
      </c>
      <c r="BL23" s="1198">
        <f>IF(ISNUMBER((I23-AB23+L23)/(F23)),(I23-AB23+L23)/(F23)," - ")</f>
        <v>-2.3859881031064112</v>
      </c>
      <c r="BM23" s="1205">
        <f>IF(ISNUMBER((Datos!P23-Datos!Q23)/(Datos!R23-Datos!P23+Datos!Q23)),(Datos!P23-Datos!Q23)/(Datos!R23-Datos!P23+Datos!Q23)," - ")</f>
        <v>-6.1403508771929821E-2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9</v>
      </c>
      <c r="F31" s="1117">
        <f t="shared" si="18"/>
        <v>1538</v>
      </c>
      <c r="G31" s="1117">
        <f t="shared" si="18"/>
        <v>1634</v>
      </c>
      <c r="H31" s="1119">
        <f t="shared" si="18"/>
        <v>0</v>
      </c>
      <c r="I31" s="1117">
        <f t="shared" si="18"/>
        <v>0</v>
      </c>
      <c r="J31" s="1119">
        <f t="shared" si="18"/>
        <v>0</v>
      </c>
      <c r="K31" s="1119">
        <f t="shared" si="18"/>
        <v>0</v>
      </c>
      <c r="L31" s="1180">
        <f t="shared" si="18"/>
        <v>0</v>
      </c>
      <c r="M31" s="1180">
        <f t="shared" si="18"/>
        <v>0</v>
      </c>
      <c r="N31" s="1180">
        <f t="shared" si="18"/>
        <v>163</v>
      </c>
      <c r="O31" s="1180">
        <f t="shared" si="18"/>
        <v>0</v>
      </c>
      <c r="P31" s="1180">
        <f t="shared" si="18"/>
        <v>0</v>
      </c>
      <c r="Q31" s="1119">
        <f t="shared" si="18"/>
        <v>445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3641</v>
      </c>
      <c r="AC31" s="1118">
        <f t="shared" si="19"/>
        <v>579</v>
      </c>
      <c r="AD31" s="1118">
        <f t="shared" si="19"/>
        <v>0</v>
      </c>
      <c r="AE31" s="1118">
        <f t="shared" si="19"/>
        <v>0</v>
      </c>
      <c r="AF31" s="1125">
        <f t="shared" si="19"/>
        <v>1673</v>
      </c>
      <c r="AG31" s="1125">
        <f t="shared" si="19"/>
        <v>0</v>
      </c>
      <c r="AH31" s="1125">
        <f t="shared" si="19"/>
        <v>164</v>
      </c>
      <c r="AI31" s="1125">
        <f t="shared" si="19"/>
        <v>0</v>
      </c>
      <c r="AJ31" s="1118">
        <f t="shared" si="19"/>
        <v>0</v>
      </c>
      <c r="AK31" s="1125">
        <f t="shared" si="19"/>
        <v>0</v>
      </c>
      <c r="AL31" s="1125">
        <f t="shared" si="19"/>
        <v>0</v>
      </c>
      <c r="AM31" s="1125">
        <f t="shared" si="19"/>
        <v>8218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849</v>
      </c>
      <c r="BD31" s="1117">
        <f t="shared" si="19"/>
        <v>3808</v>
      </c>
      <c r="BE31" s="1117">
        <f t="shared" si="19"/>
        <v>0</v>
      </c>
      <c r="BF31" s="1127">
        <f t="shared" si="19"/>
        <v>0</v>
      </c>
      <c r="BG31" s="1223">
        <f>IF(ISNUMBER(Datos!K31/Datos!J31),Datos!K31/Datos!J31," - ")</f>
        <v>0.96673126614987082</v>
      </c>
      <c r="BH31" s="1223">
        <f>IF(ISNUMBER(((Datos!L31/Datos!K31)*11)/factor_trimestre),((Datos!L31/Datos!K31)*11)/factor_trimestre," - ")</f>
        <v>3.0511192783160705</v>
      </c>
      <c r="BI31" s="1103">
        <f>IF(ISNUMBER(Datos!J31/Datos!I31),Datos!J31/Datos!I31," - ")</f>
        <v>1.0564750042654838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-2.3673602080624185</v>
      </c>
      <c r="BM31" s="1188">
        <f>IF(ISNUMBER((Datos!P31-Datos!Q31+R31)/(Datos!R31-Datos!P31+Datos!Q31-R31)),(Datos!P31-Datos!Q31+R31)/(Datos!R31-Datos!P31+Datos!Q31-R31)," - ")</f>
        <v>-1.6044061302681992E-2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408.5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1.8995228702237106</v>
      </c>
      <c r="F33" s="673">
        <f>IF(ISNUMBER(STDEV(F8:F30)),STDEV(F8:F30),"-")</f>
        <v>733.13046977620957</v>
      </c>
      <c r="G33" s="674">
        <f>IF(ISNUMBER(STDEV(G8:G30)),STDEV(G8:G30),"-")</f>
        <v>699.16562517658963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1625.074921349782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207.72460400999952</v>
      </c>
      <c r="BD33" s="673"/>
      <c r="BE33" s="673">
        <f>IF(ISNUMBER(STDEV(BE8:BE30)),STDEV(BE8:BE30),"-")</f>
        <v>0</v>
      </c>
      <c r="BF33" s="678">
        <f>IF(ISNUMBER(STDEV(BF8:BF30)),STDEV(BF8:BF30),"-")</f>
        <v>0</v>
      </c>
      <c r="BG33" s="1052">
        <f>IF(ISNUMBER(STDEV(BG8:BG30)),STDEV(BG8:BG30),"-")</f>
        <v>5.2496588474060524E-2</v>
      </c>
      <c r="BH33" s="1058">
        <f>IF(ISNUMBER(STDEV(BH8:BH30)),STDEV(BH8:BH30),"-")</f>
        <v>1.9777479676075793</v>
      </c>
      <c r="BI33" s="273">
        <f>IF(ISNUMBER(STDEV(BI8:BI30)),STDEV(BI8:BI30),"-")</f>
        <v>0.15496943205584721</v>
      </c>
      <c r="BJ33" s="244" t="str">
        <f>IF(ISNUMBER(BL33/BM33),BL33/BM33," - ")</f>
        <v xml:space="preserve"> - </v>
      </c>
      <c r="BK33" s="709"/>
      <c r="BL33" s="681">
        <f>IF(ISNUMBER(STDEV(BL8:BL30)),STDEV(BL8:BL30),"-")</f>
        <v>0.81033595886565224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YgCHSzO59x975Fe8Id1ohKS8QeJRx9NQwdq1g1sUiOG9SEjNC6sgPT/9IElvsBRnv8Isomv9dGK0I3QD6XsW4A==" saltValue="UGb2YddTaW3pYouu8Tz2a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LAS PALMAS  Resumenes por Partidos Judiciales  ARRECIFE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348</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438</v>
      </c>
      <c r="AA9" s="551" t="str">
        <f>IF(ISNUMBER(IF(J_V="SI",Datos!L9,Datos!L9+Datos!AB9)-IF(Monitorios="SI",Datos!CD9,0)),
                          IF(J_V="SI",Datos!L9,Datos!L9+Datos!AB9)-IF(Monitorios="SI",Datos!CD9,0),
                          " - ")</f>
        <v xml:space="preserve"> - </v>
      </c>
      <c r="AB9" s="549"/>
      <c r="AC9" s="549"/>
      <c r="AD9" s="563"/>
      <c r="AE9" s="563">
        <f>IF(ISNUMBER(Datos!R9),Datos!R9," - ")</f>
        <v>7048</v>
      </c>
      <c r="AF9" s="693" t="str">
        <f>IF(ISNUMBER(Datos!BV9),Datos!BV9," - ")</f>
        <v xml:space="preserve"> - </v>
      </c>
      <c r="AG9" s="552" t="str">
        <f>IF(ISNUMBER(Datos!DV9),Datos!DV9," - ")</f>
        <v xml:space="preserve"> - </v>
      </c>
      <c r="AH9" s="553"/>
      <c r="AI9" s="554"/>
      <c r="AJ9" s="552">
        <f>IF(ISNUMBER(Datos!M9),Datos!M9," - ")</f>
        <v>400</v>
      </c>
      <c r="AK9" s="693">
        <f>IF(ISNUMBER(Datos!N9),Datos!N9," - ")</f>
        <v>1445</v>
      </c>
      <c r="AL9" s="693" t="str">
        <f>IF(ISNUMBER(Datos!BW9),Datos!BW9," - ")</f>
        <v xml:space="preserve"> - </v>
      </c>
      <c r="AM9" s="762" t="str">
        <f>IF(ISNUMBER(Datos!BX9),Datos!BX9," - ")</f>
        <v xml:space="preserve"> - </v>
      </c>
      <c r="AN9" s="763"/>
      <c r="AO9" s="764">
        <f>IF(ISNUMBER(((NºAsuntos!I9/NºAsuntos!G9)*11)/factor_trimestre),((NºAsuntos!I9/NºAsuntos!G9)*11)/factor_trimestre," - ")</f>
        <v>5.5535786494136676</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-1.2608573830204538E-2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25</v>
      </c>
      <c r="G10" s="552">
        <f>IF(ISNUMBER(Datos!I10),Datos!I10," - ")</f>
        <v>25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31</v>
      </c>
      <c r="Z10" s="805">
        <f>IF(ISNUMBER(Datos!Q10),Datos!Q10," - ")</f>
        <v>1</v>
      </c>
      <c r="AA10" s="551">
        <f>IF(ISNUMBER(Datos!L10),Datos!L10,"-")</f>
        <v>25</v>
      </c>
      <c r="AB10" s="549"/>
      <c r="AC10" s="549"/>
      <c r="AD10" s="563"/>
      <c r="AE10" s="563">
        <f>IF(ISNUMBER(Datos!R10),Datos!R10," - ")</f>
        <v>18</v>
      </c>
      <c r="AF10" s="693" t="str">
        <f>IF(ISNUMBER(Datos!BV10),Datos!BV10," - ")</f>
        <v xml:space="preserve"> - </v>
      </c>
      <c r="AG10" s="552" t="str">
        <f>IF(ISNUMBER(Datos!DV10),Datos!DV10," - ")</f>
        <v xml:space="preserve"> - </v>
      </c>
      <c r="AH10" s="553"/>
      <c r="AI10" s="554"/>
      <c r="AJ10" s="552">
        <f>IF(ISNUMBER(Datos!M10),Datos!M10," - ")</f>
        <v>11</v>
      </c>
      <c r="AK10" s="693">
        <f>IF(ISNUMBER(Datos!N10),Datos!N10," - ")</f>
        <v>16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2.4193548387096775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5.8823529411764705E-2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17</v>
      </c>
      <c r="AA12" s="551" t="str">
        <f>IF(ISNUMBER(IF(J_V="SI",Datos!L12,Datos!L12+Datos!AB12)-IF(Monitorios="SI",Datos!CD12,0)),
                          IF(J_V="SI",Datos!L12,Datos!L12+Datos!AB12)-IF(Monitorios="SI",Datos!CD12,0),
                          " - ")</f>
        <v xml:space="preserve"> - </v>
      </c>
      <c r="AB12" s="549"/>
      <c r="AC12" s="549"/>
      <c r="AD12" s="563"/>
      <c r="AE12" s="563">
        <f>IF(ISNUMBER(Datos!R12),Datos!R12," - ")</f>
        <v>724</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-2.2941970310391364E-2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25</v>
      </c>
      <c r="G14" s="1197">
        <f>SUBTOTAL(9,G8:G13)</f>
        <v>25</v>
      </c>
      <c r="H14" s="1211"/>
      <c r="I14" s="1197">
        <f t="shared" ref="I14:N14" si="1">SUBTOTAL(9,I8:I13)</f>
        <v>0</v>
      </c>
      <c r="J14" s="1164">
        <f t="shared" si="1"/>
        <v>0</v>
      </c>
      <c r="K14" s="1211">
        <f t="shared" si="1"/>
        <v>0</v>
      </c>
      <c r="L14" s="1211">
        <f t="shared" si="1"/>
        <v>0</v>
      </c>
      <c r="M14" s="1211">
        <f t="shared" si="1"/>
        <v>0</v>
      </c>
      <c r="N14" s="1211">
        <f t="shared" si="1"/>
        <v>350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31</v>
      </c>
      <c r="Z14" s="1210">
        <f t="shared" si="3"/>
        <v>456</v>
      </c>
      <c r="AA14" s="1199">
        <f t="shared" si="3"/>
        <v>25</v>
      </c>
      <c r="AB14" s="1199">
        <f t="shared" si="3"/>
        <v>0</v>
      </c>
      <c r="AC14" s="1199">
        <f t="shared" si="3"/>
        <v>0</v>
      </c>
      <c r="AD14" s="1199">
        <f t="shared" si="3"/>
        <v>0</v>
      </c>
      <c r="AE14" s="1199">
        <f t="shared" si="3"/>
        <v>7790</v>
      </c>
      <c r="AF14" s="1211">
        <f t="shared" si="3"/>
        <v>0</v>
      </c>
      <c r="AG14" s="1211">
        <f t="shared" si="3"/>
        <v>0</v>
      </c>
      <c r="AH14" s="1211">
        <f t="shared" si="3"/>
        <v>0</v>
      </c>
      <c r="AI14" s="1211">
        <f t="shared" si="3"/>
        <v>0</v>
      </c>
      <c r="AJ14" s="1211">
        <f t="shared" si="3"/>
        <v>411</v>
      </c>
      <c r="AK14" s="1211">
        <f t="shared" si="3"/>
        <v>1461</v>
      </c>
      <c r="AL14" s="1211">
        <f t="shared" si="3"/>
        <v>0</v>
      </c>
      <c r="AM14" s="1211">
        <f t="shared" si="3"/>
        <v>0</v>
      </c>
      <c r="AN14" s="1211">
        <f t="shared" si="3"/>
        <v>0</v>
      </c>
      <c r="AO14" s="1203">
        <f>IF(ISNUMBER(((NºAsuntos!I14/NºAsuntos!G14)*11)/factor_trimestre),((NºAsuntos!I14/NºAsuntos!G14)*11)/factor_trimestre," - ")</f>
        <v>5.5159744408945688</v>
      </c>
      <c r="AP14" s="1213" t="str">
        <f>IF(ISNUMBER(Datos!CI14/Datos!CJ14),Datos!CI14/Datos!CJ14," - ")</f>
        <v xml:space="preserve"> - </v>
      </c>
      <c r="AQ14" s="1236">
        <f t="shared" ref="AQ14:AV14" si="4">SUBTOTAL(9,AQ9:AQ13)</f>
        <v>0</v>
      </c>
      <c r="AR14" s="1236">
        <f t="shared" si="4"/>
        <v>2.3272985271168799E-2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1512</v>
      </c>
      <c r="G16" s="552">
        <f>IF(ISNUMBER(IF(D_I="SI",Datos!I16,Datos!I16+Datos!AC16)),IF(D_I="SI",Datos!I16,Datos!I16+Datos!AC16)," - ")</f>
        <v>1465</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90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3473</v>
      </c>
      <c r="Z16" s="805">
        <f>IF(ISNUMBER(Datos!Q16),Datos!Q16," - ")</f>
        <v>119</v>
      </c>
      <c r="AA16" s="551">
        <f>IF(ISNUMBER(IF(D_I="SI",Datos!L16,Datos!L16+Datos!AF16)),IF(D_I="SI",Datos!L16,Datos!L16+Datos!AF16)," - ")</f>
        <v>1543</v>
      </c>
      <c r="AB16" s="549"/>
      <c r="AC16" s="549"/>
      <c r="AD16" s="563"/>
      <c r="AE16" s="563">
        <f>IF(ISNUMBER(Datos!R16),Datos!R16," - ")</f>
        <v>382</v>
      </c>
      <c r="AF16" s="693" t="str">
        <f>IF(ISNUMBER(Datos!BV16),Datos!BV16," - ")</f>
        <v xml:space="preserve"> - </v>
      </c>
      <c r="AG16" s="552"/>
      <c r="AH16" s="553"/>
      <c r="AI16" s="554"/>
      <c r="AJ16" s="552">
        <f>IF(ISNUMBER(Datos!M16),Datos!M16," - ")</f>
        <v>392</v>
      </c>
      <c r="AK16" s="693">
        <f>IF(ISNUMBER(Datos!N16),Datos!N16," - ")</f>
        <v>2298</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1.3328534408292543</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1</v>
      </c>
      <c r="G17" s="552">
        <f>IF(ISNUMBER(IF(D_I="SI",Datos!I17,Datos!I17+Datos!AC17)),IF(D_I="SI",Datos!I17,Datos!I17+Datos!AC17)," - ")</f>
        <v>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1</v>
      </c>
      <c r="AB17" s="549"/>
      <c r="AC17" s="549"/>
      <c r="AD17" s="563"/>
      <c r="AE17" s="563">
        <f>IF(ISNUMBER(Datos!R17),Datos!R17," - ")</f>
        <v>0</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137</v>
      </c>
      <c r="Z18" s="805">
        <f>IF(ISNUMBER(Datos!Q18),Datos!Q18," - ")</f>
        <v>4</v>
      </c>
      <c r="AA18" s="551">
        <f>IF(ISNUMBER(Datos!L18),Datos!L18,"-")</f>
        <v>104</v>
      </c>
      <c r="AB18" s="549"/>
      <c r="AC18" s="549"/>
      <c r="AD18" s="563"/>
      <c r="AE18" s="563">
        <f>IF(ISNUMBER(Datos!R18),Datos!R18," - ")</f>
        <v>46</v>
      </c>
      <c r="AF18" s="693" t="str">
        <f>IF(ISNUMBER(Datos!BV18),Datos!BV18," - ")</f>
        <v xml:space="preserve"> - </v>
      </c>
      <c r="AG18" s="552" t="str">
        <f>IF(ISNUMBER(Datos!DV18),Datos!DV18," - ")</f>
        <v xml:space="preserve"> - </v>
      </c>
      <c r="AH18" s="553"/>
      <c r="AI18" s="554"/>
      <c r="AJ18" s="552">
        <f>IF(ISNUMBER(Datos!M18),Datos!M18," - ")</f>
        <v>46</v>
      </c>
      <c r="AK18" s="693">
        <f>IF(ISNUMBER(Datos!N18),Datos!N18," - ")</f>
        <v>49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2.2773722627737225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1513</v>
      </c>
      <c r="G23" s="1197">
        <f>SUBTOTAL(9,G16:G22)</f>
        <v>1609</v>
      </c>
      <c r="H23" s="1240">
        <f>SUBTOTAL(9,H16:H22)</f>
        <v>0</v>
      </c>
      <c r="I23" s="1217">
        <f>SUBTOTAL(9,I16:I22)</f>
        <v>0</v>
      </c>
      <c r="J23" s="1164">
        <f>SUBTOTAL(9,J15:J22)</f>
        <v>0</v>
      </c>
      <c r="K23" s="1240">
        <f t="shared" ref="K23:S23" si="5">SUBTOTAL(9,K16:K22)</f>
        <v>0</v>
      </c>
      <c r="L23" s="1240">
        <f t="shared" si="5"/>
        <v>0</v>
      </c>
      <c r="M23" s="1240">
        <f t="shared" si="5"/>
        <v>0</v>
      </c>
      <c r="N23" s="1240">
        <f t="shared" si="5"/>
        <v>95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3610</v>
      </c>
      <c r="Z23" s="1240">
        <f t="shared" si="6"/>
        <v>123</v>
      </c>
      <c r="AA23" s="1240">
        <f t="shared" si="6"/>
        <v>1648</v>
      </c>
      <c r="AB23" s="1240">
        <f t="shared" si="6"/>
        <v>0</v>
      </c>
      <c r="AC23" s="1240">
        <f t="shared" si="6"/>
        <v>0</v>
      </c>
      <c r="AD23" s="1240">
        <f t="shared" si="6"/>
        <v>0</v>
      </c>
      <c r="AE23" s="1240">
        <f t="shared" si="6"/>
        <v>428</v>
      </c>
      <c r="AF23" s="1240">
        <f t="shared" si="6"/>
        <v>0</v>
      </c>
      <c r="AG23" s="1240">
        <f t="shared" si="6"/>
        <v>0</v>
      </c>
      <c r="AH23" s="1240">
        <f t="shared" si="6"/>
        <v>0</v>
      </c>
      <c r="AI23" s="1240">
        <f t="shared" si="6"/>
        <v>0</v>
      </c>
      <c r="AJ23" s="1240">
        <f t="shared" si="6"/>
        <v>438</v>
      </c>
      <c r="AK23" s="1240">
        <f t="shared" si="6"/>
        <v>2347</v>
      </c>
      <c r="AL23" s="1240">
        <f t="shared" si="6"/>
        <v>0</v>
      </c>
      <c r="AM23" s="1240">
        <f t="shared" si="6"/>
        <v>0</v>
      </c>
      <c r="AN23" s="1240">
        <f t="shared" si="6"/>
        <v>0</v>
      </c>
      <c r="AO23" s="1242">
        <f>IF(ISNUMBER(((NºAsuntos!I23/NºAsuntos!G23)*11)/factor_trimestre),((NºAsuntos!I23/NºAsuntos!G23)*11)/factor_trimestre," - ")</f>
        <v>1.3695290858725764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9</v>
      </c>
      <c r="F31" s="1117">
        <f t="shared" si="12"/>
        <v>1538</v>
      </c>
      <c r="G31" s="1117">
        <f t="shared" si="12"/>
        <v>1634</v>
      </c>
      <c r="H31" s="1118">
        <f t="shared" si="12"/>
        <v>0</v>
      </c>
      <c r="I31" s="1117">
        <f t="shared" si="12"/>
        <v>0</v>
      </c>
      <c r="J31" s="1119">
        <f t="shared" si="12"/>
        <v>0</v>
      </c>
      <c r="K31" s="1117">
        <f t="shared" si="12"/>
        <v>0</v>
      </c>
      <c r="L31" s="1120">
        <f t="shared" si="12"/>
        <v>0</v>
      </c>
      <c r="M31" s="1117">
        <f t="shared" si="12"/>
        <v>0</v>
      </c>
      <c r="N31" s="1118">
        <f t="shared" si="12"/>
        <v>445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3641</v>
      </c>
      <c r="Z31" s="1124">
        <f t="shared" si="13"/>
        <v>579</v>
      </c>
      <c r="AA31" s="1125">
        <f t="shared" si="13"/>
        <v>1673</v>
      </c>
      <c r="AB31" s="1125">
        <f t="shared" si="13"/>
        <v>0</v>
      </c>
      <c r="AC31" s="1125">
        <f t="shared" si="13"/>
        <v>0</v>
      </c>
      <c r="AD31" s="1126">
        <f t="shared" si="13"/>
        <v>0</v>
      </c>
      <c r="AE31" s="1126">
        <f t="shared" si="13"/>
        <v>8218</v>
      </c>
      <c r="AF31" s="1127">
        <f t="shared" si="13"/>
        <v>0</v>
      </c>
      <c r="AG31" s="1128">
        <f t="shared" si="13"/>
        <v>0</v>
      </c>
      <c r="AH31" s="1129">
        <f t="shared" si="13"/>
        <v>0</v>
      </c>
      <c r="AI31" s="1127">
        <f t="shared" si="13"/>
        <v>0</v>
      </c>
      <c r="AJ31" s="1117">
        <f t="shared" si="13"/>
        <v>849</v>
      </c>
      <c r="AK31" s="1117">
        <f t="shared" si="13"/>
        <v>3808</v>
      </c>
      <c r="AL31" s="1117">
        <f t="shared" si="13"/>
        <v>0</v>
      </c>
      <c r="AM31" s="1130">
        <f t="shared" si="13"/>
        <v>0</v>
      </c>
      <c r="AN31" s="1120">
        <f>IF(ISNUMBER(Datos!K31/Datos!J31),Datos!K31/Datos!J31," - ")</f>
        <v>0.96673126614987082</v>
      </c>
      <c r="AO31" s="1120">
        <f>IF(ISNUMBER(FIND("06",Criterios!A8,1)),(IF(ISNUMBER(((Datos!R31/Datos!Q31)*11)/factor_trimestre),((Datos!R31/Datos!Q31)*11)/factor_trimestre," - ")),(IF(ISNUMBER(((Datos!L31/Datos!K31)*11)/factor_trimestre),((Datos!L31/Datos!K31)*11)/factor_trimestre," - ")))</f>
        <v>3.0511192783160705</v>
      </c>
      <c r="AP31" s="1131" t="str">
        <f>IF(ISNUMBER(Datos!CI31/Datos!CJ31),Datos!CI31/Datos!CJ31," - ")</f>
        <v xml:space="preserve"> - </v>
      </c>
      <c r="AQ31" s="1131">
        <f>IF(OR(ISNUMBER(FIND("01",Criterios!A8,1)),ISNUMBER(FIND("02",Criterios!A8,1)),ISNUMBER(FIND("03",Criterios!A8,1)),ISNUMBER(FIND("04",Criterios!A8,1))),(J31-Y31+K31)/(F31-K31),(I31-Y31+K31)/(F31-K31))</f>
        <v>-2.3673602080624185</v>
      </c>
      <c r="AR31" s="1131">
        <f>IF(ISNUMBER((Datos!P31-Datos!Q31+O31)/(Datos!R31-Datos!P31+Datos!Q31-O31)),(Datos!P31-Datos!Q31+O31)/(Datos!R31-Datos!P31+Datos!Q31-O31)," - ")</f>
        <v>-1.6044061302681992E-2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408.5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733.13046977620957</v>
      </c>
      <c r="G33" s="674">
        <f>IF(ISNUMBER(STDEV(G8:G30)),STDEV(G8:G30),"-")</f>
        <v>699.16562517658963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207.72460400999952</v>
      </c>
      <c r="AK33" s="276"/>
      <c r="AL33" s="276">
        <f>IF(ISNUMBER(STDEV(AL8:AL30)),STDEV(AL8:AL30),"-")</f>
        <v>0</v>
      </c>
      <c r="AM33" s="278">
        <f>IF(ISNUMBER(STDEV(AM8:AM30)),STDEV(AM8:AM30),"-")</f>
        <v>0</v>
      </c>
      <c r="AN33" s="660">
        <f>IF(ISNUMBER(STDEV(AN8:AN30)),STDEV(AN8:AN30),"-")</f>
        <v>0</v>
      </c>
      <c r="AO33" s="661">
        <f>IF(ISNUMBER(STDEV(AO8:AO30)),STDEV(AO8:AO30),"-")</f>
        <v>1.9550670858157693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9hEAku1HDY8pNsTyA9q/LyeT2Rb64L3MrO9nZMd8KX+joDKyx829CIxkCHqyH11O7563n/hvwSumhNO5XUTRnQ==" saltValue="E1kjW8aZPbJ11Q61dD3Xi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wK89IECtlQ1gNqZcPQj1wY0VX0KPtAQJUjBd5scl/V7dw/WAEUMHbXWJxr6zEvcvnAiu5GyQ0uA/RMyWmAPgw==" saltValue="ix27HFDp3VobqXhiKlFRH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MK6w0jHGGDpIRv5aQ3WrSmTVZCQv0rs/7TK0K6jwJiqXf9SwlZVvWWktNijMKIi4cobZnLXUtCejxtgvE1cLw==" saltValue="WHJQJa0PSk8PdybbZFyyF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LAS PALMAS  Resumenes por Partidos Judiciales  ARRECIFE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0.1641373801916933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0.11606265457974084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2AMh2g8AzrO66My3cjPf8hdZVFzimKJ4bQDkYlKM1pP/25snJBEP8Aup4ff2YdhEheczQlVhG/vZyOLwNQoYXg==" saltValue="vQZCFF4m0Dom30Uh+x89x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WBZcv6TGto1BSfnIJtCIAUXa/YM3bfwrvmV1VoEqRLVY+SgYstVUe3DU2XvgW+xbhVIu0EMPv/j28j3ZPI1caA==" saltValue="V0ORFu9ILgLi5JxHK1Uh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LAS PALMAS</v>
      </c>
      <c r="D3" s="436"/>
      <c r="E3" s="436"/>
      <c r="F3" s="436"/>
    </row>
    <row r="4" spans="1:14" ht="13.5" thickBot="1">
      <c r="A4" s="436"/>
      <c r="B4" s="439" t="str">
        <f>Criterios!A11 &amp;"  "&amp;Criterios!B11</f>
        <v>Resumenes por Partidos Judiciales  ARRECIFE</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4360</v>
      </c>
      <c r="D9" s="452">
        <f>IF(ISNUMBER(C9/Datos!BH9),C9/Datos!BH9," - ")</f>
        <v>872</v>
      </c>
      <c r="E9" s="451">
        <f>IF(ISNUMBER(IF(J_V="SI",Datos!J9,Datos!J9+Datos!Z9)),IF(J_V="SI",Datos!J9,Datos!J9+Datos!Z9)," - ")</f>
        <v>2691</v>
      </c>
      <c r="F9" s="452">
        <f>IF(ISNUMBER(E9/B9),E9/B9," - ")</f>
        <v>538.20000000000005</v>
      </c>
      <c r="G9" s="451">
        <f>IF(ISNUMBER(IF(J_V="SI",Datos!K9,Datos!K9+Datos!AA9)),IF(J_V="SI",Datos!K9,Datos!K9+Datos!AA9)," - ")</f>
        <v>2473</v>
      </c>
      <c r="H9" s="452">
        <f>IF(ISNUMBER(G9/B9),G9/B9," - ")</f>
        <v>494.6</v>
      </c>
      <c r="I9" s="451">
        <f>IF(ISNUMBER(IF(J_V="SI",Datos!L9,Datos!L9+Datos!AB9)),IF(J_V="SI",Datos!L9,Datos!L9+Datos!AB9)," - ")</f>
        <v>4578</v>
      </c>
      <c r="J9" s="452">
        <f>IF(ISNUMBER(I9/B9),I9/B9," - ")</f>
        <v>915.6</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25</v>
      </c>
      <c r="D10" s="452">
        <f>IF(ISNUMBER(C10/Datos!BH10),C10/Datos!BH10," - ")</f>
        <v>25</v>
      </c>
      <c r="E10" s="451">
        <f>IF(ISNUMBER(Datos!J10),Datos!J10," - ")</f>
        <v>31</v>
      </c>
      <c r="F10" s="452">
        <f>IF(ISNUMBER(E10/B10),E10/B10," - ")</f>
        <v>31</v>
      </c>
      <c r="G10" s="451">
        <f>IF(ISNUMBER(Datos!K10),Datos!K10," - ")</f>
        <v>31</v>
      </c>
      <c r="H10" s="452">
        <f>IF(ISNUMBER(G10/B10),G10/B10," - ")</f>
        <v>31</v>
      </c>
      <c r="I10" s="451">
        <f>IF(ISNUMBER(Datos!L10),Datos!L10," - ")</f>
        <v>25</v>
      </c>
      <c r="J10" s="452">
        <f>IF(ISNUMBER(I10/B10),I10/B10," - ")</f>
        <v>25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1</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0</v>
      </c>
      <c r="H12" s="452" t="str">
        <f>IF(ISNUMBER(G12/B12),G12/B12," - ")</f>
        <v xml:space="preserve"> - </v>
      </c>
      <c r="I12" s="451">
        <f>IF(ISNUMBER(IF(J_V="SI",Datos!L12,Datos!L12+Datos!AB12)),IF(J_V="SI",Datos!L12,Datos!L12+Datos!AB12)," - ")</f>
        <v>1</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4386</v>
      </c>
      <c r="D14" s="1147" t="str">
        <f>IF(ISNUMBER(C14/Datos!BI14),C14/Datos!BI14," - ")</f>
        <v xml:space="preserve"> - </v>
      </c>
      <c r="E14" s="1146">
        <f>SUBTOTAL(9,E8:E13)</f>
        <v>2722</v>
      </c>
      <c r="F14" s="1147">
        <f>IF(ISNUMBER(E14/B14),E14/B14," - ")</f>
        <v>544.4</v>
      </c>
      <c r="G14" s="1146">
        <f>SUBTOTAL(9,G8:G13)</f>
        <v>2504</v>
      </c>
      <c r="H14" s="1147">
        <f>IF(ISNUMBER(G14/B14),G14/B14," - ")</f>
        <v>500.8</v>
      </c>
      <c r="I14" s="1146">
        <f>SUBTOTAL(9,I8:I13)</f>
        <v>4604</v>
      </c>
      <c r="J14" s="1147">
        <f>IF(ISNUMBER(I14/B14),I14/B14," - ")</f>
        <v>920.8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1465</v>
      </c>
      <c r="D16" s="452">
        <f>IF(ISNUMBER(C16/Datos!BH16),C16/Datos!BH16," - ")</f>
        <v>366.25</v>
      </c>
      <c r="E16" s="451">
        <f>IF(ISNUMBER(IF(D_I="SI",Datos!J16,Datos!J16+Datos!AD16)),IF(D_I="SI",Datos!J16,Datos!J16+Datos!AD16)," - ")</f>
        <v>3504</v>
      </c>
      <c r="F16" s="452">
        <f>IF(ISNUMBER(E16/B16),E16/B16," - ")</f>
        <v>876</v>
      </c>
      <c r="G16" s="451">
        <f>IF(ISNUMBER(IF(D_I="SI",Datos!K16,Datos!K16+Datos!AE16)),IF(D_I="SI",Datos!K16,Datos!K16+Datos!AE16)," - ")</f>
        <v>3473</v>
      </c>
      <c r="H16" s="452">
        <f>IF(ISNUMBER(G16/B16),G16/B16," - ")</f>
        <v>868.25</v>
      </c>
      <c r="I16" s="451">
        <f>IF(ISNUMBER(IF(D_I="SI",Datos!L16,Datos!L16+Datos!AF16)),IF(D_I="SI",Datos!L16,Datos!L16+Datos!AF16)," - ")</f>
        <v>1543</v>
      </c>
      <c r="J16" s="452">
        <f>IF(ISNUMBER(I16/B16),I16/B16," - ")</f>
        <v>385.75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1</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1</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143</v>
      </c>
      <c r="D18" s="452">
        <f>IF(ISNUMBER(C18/Datos!BH18),C18/Datos!BH18," - ")</f>
        <v>143</v>
      </c>
      <c r="E18" s="451">
        <f>IF(ISNUMBER(IF(D_I="SI",Datos!J18,Datos!J18+Datos!AD18)),IF(D_I="SI",Datos!J18,Datos!J18+Datos!AD18)," - ")</f>
        <v>129</v>
      </c>
      <c r="F18" s="452">
        <f>IF(ISNUMBER(E18/B18),E18/B18," - ")</f>
        <v>129</v>
      </c>
      <c r="G18" s="451">
        <f>IF(ISNUMBER(IF(D_I="SI",Datos!K18,Datos!K18+Datos!AE18)),IF(D_I="SI",Datos!K18,Datos!K18+Datos!AE18)," - ")</f>
        <v>137</v>
      </c>
      <c r="H18" s="452">
        <f>IF(ISNUMBER(G18/B18),G18/B18," - ")</f>
        <v>137</v>
      </c>
      <c r="I18" s="451">
        <f>IF(ISNUMBER(IF(D_I="SI",Datos!L18,Datos!L18+Datos!AF18)),IF(D_I="SI",Datos!L18,Datos!L18+Datos!AF18)," - ")</f>
        <v>104</v>
      </c>
      <c r="J18" s="452">
        <f>IF(ISNUMBER(I18/B18),I18/B18," - ")</f>
        <v>104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1609</v>
      </c>
      <c r="D23" s="1147" t="str">
        <f>IF(ISNUMBER(C23/Datos!BI23),C23/Datos!BI23," - ")</f>
        <v xml:space="preserve"> - </v>
      </c>
      <c r="E23" s="1146">
        <f>SUBTOTAL(9,E15:E22)</f>
        <v>3633</v>
      </c>
      <c r="F23" s="1147">
        <f>IF(ISNUMBER(E23/B23),E23/B23," - ")</f>
        <v>908.25</v>
      </c>
      <c r="G23" s="1146">
        <f>SUBTOTAL(9,G15:G22)</f>
        <v>3610</v>
      </c>
      <c r="H23" s="1147">
        <f>IF(ISNUMBER(G23/B23),G23/B23," - ")</f>
        <v>902.5</v>
      </c>
      <c r="I23" s="1146">
        <f>SUBTOTAL(9,I15:I22)</f>
        <v>1648</v>
      </c>
      <c r="J23" s="1147">
        <f>IF(ISNUMBER(I23/B23),I23/B23," - ")</f>
        <v>412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9</v>
      </c>
      <c r="C31" s="1084">
        <f>SUBTOTAL(9,C9:C30)</f>
        <v>5995</v>
      </c>
      <c r="D31" s="1085" t="str">
        <f>IF(ISNUMBER(C31/Datos!BI31),C31/Datos!BI31," - ")</f>
        <v xml:space="preserve"> - </v>
      </c>
      <c r="E31" s="1084">
        <f>SUBTOTAL(9,E9:E30)</f>
        <v>6355</v>
      </c>
      <c r="F31" s="1085">
        <f>IF(ISNUMBER(E31/B31),E31/B31," - ")</f>
        <v>706.11111111111109</v>
      </c>
      <c r="G31" s="1084">
        <f>SUBTOTAL(9,G9:G30)</f>
        <v>6114</v>
      </c>
      <c r="H31" s="1085">
        <f>IF(ISNUMBER(G31/B31),G31/B31," - ")</f>
        <v>679.33333333333337</v>
      </c>
      <c r="I31" s="1084">
        <f>SUBTOTAL(9,I9:I30)</f>
        <v>6252</v>
      </c>
      <c r="J31" s="1085">
        <f>IF(ISNUMBER(I31/B31),I31/B31," - ")</f>
        <v>694.66666666666663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C0mUC4PuhBjiCDV9mMCug2ZgBwPG2i50ukUQYHFa462wnXLLcK/8jjjnwv4Uo9EI5Ltell8wKQLzoGl/rnhHWA==" saltValue="AiLRLp+yMnKt3TlZR4w96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LAS PALMAS  Resumenes por Partidos Judiciales  ARRECIFE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25</v>
      </c>
      <c r="G10" s="906">
        <f>IF(ISNUMBER(Datos!I10),Datos!I10," - ")</f>
        <v>25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31</v>
      </c>
      <c r="AC10" s="905" t="str">
        <f>IF(ISNUMBER(IF(D_I="SI",DatosP!K18,DatosP!K18+DatosP!AE18)),IF(D_I="SI",DatosP!K18,DatosP!K18+DatosP!AE18)," - ")</f>
        <v xml:space="preserve"> - </v>
      </c>
      <c r="AD10" s="907"/>
      <c r="AE10" s="907"/>
      <c r="AF10" s="910">
        <f>IF(ISNUMBER(Datos!L10),Datos!L10,"-")</f>
        <v>25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11</v>
      </c>
      <c r="AM10" s="914">
        <f>IF(ISNUMBER(Datos!N10+DatosP!N18),Datos!N10+DatosP!N18," - ")</f>
        <v>16</v>
      </c>
      <c r="AN10" s="914">
        <f>IF(ISNUMBER(Datos!BW10+DatosP!BW18),Datos!BW10+DatosP!BW18," - ")</f>
        <v>0</v>
      </c>
      <c r="AO10" s="915">
        <f>IF(ISNUMBER(Datos!BX10+DatosP!BX18),Datos!BX10+DatosP!BX18," - ")</f>
        <v>0</v>
      </c>
      <c r="AP10" s="917">
        <f>IF(ISNUMBER(((Datos!L10/Datos!K10)*11)/factor_trimestre),((Datos!L10/Datos!K10)*11)/factor_trimestre," - ")</f>
        <v>2.4193548387096775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724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-2.2941970310391364E-2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25</v>
      </c>
      <c r="G14" s="1256">
        <f t="shared" si="0"/>
        <v>25</v>
      </c>
      <c r="H14" s="1256">
        <f t="shared" si="0"/>
        <v>0</v>
      </c>
      <c r="I14" s="1258">
        <f t="shared" si="0"/>
        <v>0</v>
      </c>
      <c r="J14" s="1257">
        <f t="shared" si="0"/>
        <v>0</v>
      </c>
      <c r="K14" s="1257">
        <f t="shared" si="0"/>
        <v>0</v>
      </c>
      <c r="L14" s="1259">
        <f t="shared" si="0"/>
        <v>0</v>
      </c>
      <c r="M14" s="1259">
        <f t="shared" si="0"/>
        <v>0</v>
      </c>
      <c r="N14" s="1257">
        <f t="shared" si="0"/>
        <v>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31</v>
      </c>
      <c r="AC14" s="1257">
        <f t="shared" si="1"/>
        <v>0</v>
      </c>
      <c r="AD14" s="1257">
        <f t="shared" si="1"/>
        <v>17</v>
      </c>
      <c r="AE14" s="1257">
        <f t="shared" si="1"/>
        <v>0</v>
      </c>
      <c r="AF14" s="1257">
        <f t="shared" si="1"/>
        <v>25</v>
      </c>
      <c r="AG14" s="1257">
        <f t="shared" si="1"/>
        <v>0</v>
      </c>
      <c r="AH14" s="1257">
        <f t="shared" si="1"/>
        <v>724</v>
      </c>
      <c r="AI14" s="1257">
        <f t="shared" si="1"/>
        <v>0</v>
      </c>
      <c r="AJ14" s="1257">
        <f t="shared" si="1"/>
        <v>0</v>
      </c>
      <c r="AK14" s="1257">
        <f t="shared" si="1"/>
        <v>0</v>
      </c>
      <c r="AL14" s="1257">
        <f t="shared" si="1"/>
        <v>11</v>
      </c>
      <c r="AM14" s="1257">
        <f t="shared" si="1"/>
        <v>16</v>
      </c>
      <c r="AN14" s="1257">
        <f t="shared" si="1"/>
        <v>0</v>
      </c>
      <c r="AO14" s="1257">
        <f t="shared" si="1"/>
        <v>0</v>
      </c>
      <c r="AP14" s="1262">
        <f>IF(ISNUMBER(((Datos!L14/Datos!K14)*11)/factor_trimestre),((Datos!L14/Datos!K14)*11)/factor_trimestre," - ")</f>
        <v>5.6060606060606064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-1.24</v>
      </c>
      <c r="AU14" s="1257" t="str">
        <f>IF(ISNUMBER((DatosP!#REF!-DatosP!#REF!+DatosP!#REF!)/(DatosP!#REF!+DatosP!#REF!-DatosP!#REF!-DatosP!#REF!)),(DatosP!#REF!-DatosP!#REF!+DatosP!#REF!)/(DatosP!#REF!+DatosP!#REF!-DatosP!#REF!-DatosP!#REF!)," - ")</f>
        <v xml:space="preserve"> - </v>
      </c>
      <c r="AV14" s="1263">
        <f>SUBTOTAL(9,AV9:AV13)</f>
        <v>-2.2941970310391364E-2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1.3695290858725764</v>
      </c>
      <c r="AQ23" s="1262">
        <f>IF(ISNUMBER(((Datos!M23/Datos!L23)*11)/factor_trimestre),((Datos!M23/Datos!L23)*11)/factor_trimestre," - ")</f>
        <v>0.79733009708737868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-6.1403508771929821E-2</v>
      </c>
      <c r="AW23" s="1265">
        <f>IF(ISNUMBER((Datos!Q23-Datos!R23)/(Datos!S23-Datos!Q23+Datos!R23)),(Datos!Q23-Datos!R23)/(Datos!S23-Datos!Q23+Datos!R23)," - ")</f>
        <v>-0.12551440329218108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25</v>
      </c>
      <c r="G31" s="1278">
        <f t="shared" si="8"/>
        <v>25</v>
      </c>
      <c r="H31" s="1278">
        <f t="shared" si="8"/>
        <v>0</v>
      </c>
      <c r="I31" s="1279">
        <f t="shared" si="8"/>
        <v>0</v>
      </c>
      <c r="J31" s="1280">
        <f t="shared" si="8"/>
        <v>0</v>
      </c>
      <c r="K31" s="1280">
        <f t="shared" si="8"/>
        <v>0</v>
      </c>
      <c r="L31" s="1280">
        <f t="shared" si="8"/>
        <v>0</v>
      </c>
      <c r="M31" s="1280">
        <f t="shared" si="8"/>
        <v>0</v>
      </c>
      <c r="N31" s="1279">
        <f t="shared" si="8"/>
        <v>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31</v>
      </c>
      <c r="AC31" s="1284">
        <f t="shared" si="9"/>
        <v>0</v>
      </c>
      <c r="AD31" s="1284">
        <f t="shared" si="9"/>
        <v>17</v>
      </c>
      <c r="AE31" s="1284">
        <f t="shared" si="9"/>
        <v>0</v>
      </c>
      <c r="AF31" s="1285">
        <f t="shared" si="9"/>
        <v>25</v>
      </c>
      <c r="AG31" s="1285">
        <f t="shared" si="9"/>
        <v>0</v>
      </c>
      <c r="AH31" s="1285">
        <f t="shared" si="9"/>
        <v>724</v>
      </c>
      <c r="AI31" s="1285">
        <f t="shared" si="9"/>
        <v>0</v>
      </c>
      <c r="AJ31" s="1286">
        <f t="shared" si="9"/>
        <v>0</v>
      </c>
      <c r="AK31" s="1286">
        <f t="shared" si="9"/>
        <v>0</v>
      </c>
      <c r="AL31" s="1278">
        <f t="shared" si="9"/>
        <v>11</v>
      </c>
      <c r="AM31" s="1278">
        <f t="shared" si="9"/>
        <v>16</v>
      </c>
      <c r="AN31" s="1278">
        <f t="shared" si="9"/>
        <v>0</v>
      </c>
      <c r="AO31" s="1278">
        <f t="shared" si="9"/>
        <v>0</v>
      </c>
      <c r="AP31" s="1278">
        <f>IF(ISNUMBER(((Datos!L31/Datos!K31)*11)/factor_trimestre),((Datos!L31/Datos!K31)*11)/factor_trimestre," - ")</f>
        <v>3.0511192783160705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-1.24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-1.6044061302681992E-2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13.693063937629153</v>
      </c>
      <c r="G33" s="1007">
        <f>IF(ISNUMBER(STDEV(G8:G30)),STDEV(G8:G30),"-")</f>
        <v>13.693063937629153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16.97939928266015</v>
      </c>
      <c r="AC33" s="1008">
        <f>IF(ISNUMBER(STDEV(AC8:AC30)),STDEV(AC8:AC30),"-")</f>
        <v>0</v>
      </c>
      <c r="AD33" s="1011"/>
      <c r="AE33" s="1011"/>
      <c r="AF33" s="1011"/>
      <c r="AG33" s="1011"/>
      <c r="AH33" s="1011"/>
      <c r="AI33" s="1011"/>
      <c r="AJ33" s="1012">
        <f>IF(ISNUMBER(STDEV(AJ8:AJ30)),STDEV(AJ8:AJ30),"-")</f>
        <v>0</v>
      </c>
      <c r="AK33" s="1014"/>
      <c r="AL33" s="1006">
        <f>IF(ISNUMBER(STDEV(AL8:AL30)),STDEV(AL8:AL30),"-")</f>
        <v>5.6803755744375444</v>
      </c>
      <c r="AM33" s="1006"/>
      <c r="AN33" s="1006">
        <f>IF(ISNUMBER(STDEV(AN8:AN30)),STDEV(AN8:AN30),"-")</f>
        <v>0</v>
      </c>
      <c r="AO33" s="1012">
        <f>IF(ISNUMBER(STDEV(AO8:AO30)),STDEV(AO8:AO30),"-")</f>
        <v>0</v>
      </c>
      <c r="AP33" s="1065">
        <f>IF(ISNUMBER(STDEV(AP8:AP30)),STDEV(AP8:AP30),"-")</f>
        <v>2.2062572787617176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cderpP4sj2AzezubDqf3BYOpcB0ofHL12izMnr24jre7wxgRKNjYPgAO7rEzq6nzyebO2JHQeExOtvcS5KNVKA==" saltValue="PKUn7rBNMTnhl7xE8Y8WW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LAS PALMAS</v>
      </c>
      <c r="C3" s="463"/>
      <c r="F3" s="436"/>
      <c r="G3" s="436"/>
      <c r="H3" s="436"/>
    </row>
    <row r="4" spans="1:15" ht="13.5" thickBot="1">
      <c r="A4" s="436"/>
      <c r="B4" s="439" t="str">
        <f>Criterios!A11 &amp;"  "&amp;Criterios!B11</f>
        <v>Resumenes por Partidos Judiciales  ARRECIFE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eju4KAtZeowmO2yvdu8I8zUTKU42aXWMYxMLSjqKjRgYU8Q4nJ+uNAaZmjZF5i+lxyx0CL5eds/PfO7rhbPf7Q==" saltValue="dTslCB7d0mJGNp7Musmh3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LAS PALMAS</v>
      </c>
      <c r="C3" s="475"/>
      <c r="D3" s="476"/>
    </row>
    <row r="4" spans="1:9" ht="13.5" thickBot="1">
      <c r="B4" s="477" t="str">
        <f>Criterios!A11 &amp;"  "&amp;Criterios!B11</f>
        <v>Resumenes por Partidos Judiciales  ARRECIFE</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400</v>
      </c>
      <c r="E9" s="452">
        <f t="shared" ref="E9:E14" si="0">IF(ISNUMBER(D9/B9),D9/B9," - ")</f>
        <v>80</v>
      </c>
      <c r="F9" s="451">
        <f>IF(ISNUMBER(Datos!N9),Datos!N9," - ")</f>
        <v>1445</v>
      </c>
      <c r="G9" s="452">
        <f t="shared" ref="G9:G14" si="1">IF(ISNUMBER(F9/B9),F9/B9," - ")</f>
        <v>289</v>
      </c>
      <c r="H9" s="451">
        <f>IF(ISNUMBER(Datos!O9),Datos!O9," - ")</f>
        <v>800</v>
      </c>
      <c r="I9" s="452">
        <f>IF(ISNUMBER(H9/B9),H9/B9," - ")</f>
        <v>160</v>
      </c>
    </row>
    <row r="10" spans="1:9">
      <c r="A10" s="450" t="str">
        <f>Datos!A10</f>
        <v>Jdos. Violencia contra la mujer</v>
      </c>
      <c r="B10" s="480">
        <f>Datos!AO10</f>
        <v>1</v>
      </c>
      <c r="C10" s="458">
        <f>Datos!AQ10</f>
        <v>0</v>
      </c>
      <c r="D10" s="451">
        <f>IF(ISNUMBER(Datos!M10),Datos!M10," - ")</f>
        <v>11</v>
      </c>
      <c r="E10" s="452">
        <f>IF(ISNUMBER(D10/B10),D10/B10," - ")</f>
        <v>11</v>
      </c>
      <c r="F10" s="451">
        <f>IF(ISNUMBER(Datos!N10),Datos!N10," - ")</f>
        <v>16</v>
      </c>
      <c r="G10" s="452">
        <f>IF(ISNUMBER(F10/B10),F10/B10," - ")</f>
        <v>16</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17</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411</v>
      </c>
      <c r="E14" s="1147">
        <f t="shared" si="0"/>
        <v>68.5</v>
      </c>
      <c r="F14" s="1146">
        <f>SUBTOTAL(9,F9:F13)</f>
        <v>1461</v>
      </c>
      <c r="G14" s="1147">
        <f t="shared" si="1"/>
        <v>243.5</v>
      </c>
      <c r="H14" s="1146">
        <f>SUBTOTAL(9,H9:H13)</f>
        <v>817</v>
      </c>
      <c r="I14" s="1147">
        <f>IF(ISNUMBER(H14/B14),H14/B14," - ")</f>
        <v>136.16666666666666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392</v>
      </c>
      <c r="E16" s="452">
        <f t="shared" ref="E16:E23" si="3">IF(ISNUMBER(D16/B16),D16/B16," - ")</f>
        <v>98</v>
      </c>
      <c r="F16" s="451">
        <f>IF(ISNUMBER(Datos!N16),Datos!N16," - ")</f>
        <v>2298</v>
      </c>
      <c r="G16" s="452">
        <f t="shared" ref="G16:G23" si="4">IF(ISNUMBER(F16/B16),F16/B16," - ")</f>
        <v>574.5</v>
      </c>
      <c r="H16" s="451">
        <f>IF(ISNUMBER(Datos!O16),Datos!O16," - ")</f>
        <v>73</v>
      </c>
      <c r="I16" s="452">
        <f t="shared" ref="I16:I22" si="5">IF(ISNUMBER(H16/B16),H16/B16," - ")</f>
        <v>18.25</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0</v>
      </c>
      <c r="D18" s="451">
        <f>IF(ISNUMBER(Datos!M18),Datos!M18," - ")</f>
        <v>46</v>
      </c>
      <c r="E18" s="452">
        <f>IF(ISNUMBER(D18/B18),D18/B18," - ")</f>
        <v>46</v>
      </c>
      <c r="F18" s="451">
        <f>IF(ISNUMBER(Datos!N18),Datos!N18," - ")</f>
        <v>49</v>
      </c>
      <c r="G18" s="452">
        <f>IF(ISNUMBER(F18/B18),F18/B18," - ")</f>
        <v>49</v>
      </c>
      <c r="H18" s="451">
        <f>IF(ISNUMBER(Datos!O18),Datos!O18," - ")</f>
        <v>4</v>
      </c>
      <c r="I18" s="452">
        <f t="shared" si="5"/>
        <v>4</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438</v>
      </c>
      <c r="E23" s="1147">
        <f t="shared" si="3"/>
        <v>87.6</v>
      </c>
      <c r="F23" s="1146">
        <f>SUBTOTAL(9,F16:F22)</f>
        <v>2347</v>
      </c>
      <c r="G23" s="1147">
        <f t="shared" si="4"/>
        <v>469.4</v>
      </c>
      <c r="H23" s="1146">
        <f>SUBTOTAL(9,H16:H22)</f>
        <v>77</v>
      </c>
      <c r="I23" s="1147">
        <f>IF(ISNUMBER(H23/B23),H23/B23," - ")</f>
        <v>15.4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9</v>
      </c>
      <c r="C31" s="1084">
        <f>Datos!AR31</f>
        <v>9</v>
      </c>
      <c r="D31" s="1084">
        <f>SUBTOTAL(9,D8:D30)</f>
        <v>849</v>
      </c>
      <c r="E31" s="1085">
        <f>IF(ISNUMBER(D31/B31),D31/B31," - ")</f>
        <v>94.333333333333329</v>
      </c>
      <c r="F31" s="1084">
        <f>SUBTOTAL(9,F8:F30)</f>
        <v>3808</v>
      </c>
      <c r="G31" s="1085">
        <f>IF(ISNUMBER(F31/B31),F31/B31," - ")</f>
        <v>423.11111111111109</v>
      </c>
      <c r="H31" s="1084">
        <f>SUBTOTAL(9,H8:H30)</f>
        <v>894</v>
      </c>
      <c r="I31" s="1085">
        <f>IF(ISNUMBER(H31/B31),H31/B31," - ")</f>
        <v>99.333333333333329</v>
      </c>
    </row>
    <row r="34" spans="1:1">
      <c r="A34" s="439" t="str">
        <f>Criterios!A4</f>
        <v>Fecha Informe: 05 may. 2023</v>
      </c>
    </row>
    <row r="39" spans="1:1">
      <c r="A39" s="462"/>
    </row>
  </sheetData>
  <sheetProtection algorithmName="SHA-512" hashValue="/V106Sb+MUwpJSUZ81UlKLg10bWf06BG1L98Yu2K7jHR6bVSqHVKdqYiU6Ws3SgxesWdBUYqmNAbU4CYi6/+OA==" saltValue="NSuLqfqHKyuDjnnGeMor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LAS PALMAS</v>
      </c>
    </row>
    <row r="4" spans="1:4" ht="13.5" thickBot="1">
      <c r="B4" s="439" t="str">
        <f>Criterios!A11 &amp;"  "&amp;Criterios!B11</f>
        <v>Resumenes por Partidos Judiciales  ARRECIFE</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348</v>
      </c>
      <c r="C9" s="489">
        <f>IF(ISNUMBER(Datos!Q9),Datos!Q9," - ")</f>
        <v>438</v>
      </c>
      <c r="D9" s="456">
        <f>IF(ISNUMBER(Datos!R9),Datos!R9," - ")</f>
        <v>7048</v>
      </c>
    </row>
    <row r="10" spans="1:4">
      <c r="A10" s="450" t="str">
        <f>Datos!A10</f>
        <v>Jdos. Violencia contra la mujer</v>
      </c>
      <c r="B10" s="488">
        <f>IF(ISNUMBER(Datos!P10),Datos!P10," - ")</f>
        <v>2</v>
      </c>
      <c r="C10" s="489">
        <f>IF(ISNUMBER(Datos!Q10),Datos!Q10," - ")</f>
        <v>1</v>
      </c>
      <c r="D10" s="456">
        <f>IF(ISNUMBER(Datos!R10),Datos!R10," - ")</f>
        <v>18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0</v>
      </c>
      <c r="C12" s="489">
        <f>IF(ISNUMBER(Datos!Q12),Datos!Q12," - ")</f>
        <v>17</v>
      </c>
      <c r="D12" s="456">
        <f>IF(ISNUMBER(Datos!R12),Datos!R12," - ")</f>
        <v>724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350</v>
      </c>
      <c r="C14" s="1150">
        <f>SUBTOTAL(9,C9:C13)</f>
        <v>456</v>
      </c>
      <c r="D14" s="1148">
        <f>SUBTOTAL(9,D9:D13)</f>
        <v>7790</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90</v>
      </c>
      <c r="C16" s="489">
        <f>IF(ISNUMBER(Datos!Q16),Datos!Q16," - ")</f>
        <v>119</v>
      </c>
      <c r="D16" s="456">
        <f>IF(ISNUMBER(Datos!R16),Datos!R16," - ")</f>
        <v>382</v>
      </c>
    </row>
    <row r="17" spans="1:4">
      <c r="A17" s="450" t="str">
        <f>Datos!A17</f>
        <v xml:space="preserve">Jdos. 1ª Instª. e Instr.                        </v>
      </c>
      <c r="B17" s="488">
        <f>IF(ISNUMBER(Datos!P17),Datos!P17," - ")</f>
        <v>0</v>
      </c>
      <c r="C17" s="489">
        <f>IF(ISNUMBER(Datos!Q17),Datos!Q17," - ")</f>
        <v>0</v>
      </c>
      <c r="D17" s="456">
        <f>IF(ISNUMBER(Datos!R17),Datos!R17," - ")</f>
        <v>0</v>
      </c>
    </row>
    <row r="18" spans="1:4">
      <c r="A18" s="450" t="str">
        <f>Datos!A18</f>
        <v>Jdos. Violencia contra la mujer</v>
      </c>
      <c r="B18" s="488">
        <f>IF(ISNUMBER(Datos!P18),Datos!P18," - ")</f>
        <v>5</v>
      </c>
      <c r="C18" s="489">
        <f>IF(ISNUMBER(Datos!Q18),Datos!Q18," - ")</f>
        <v>4</v>
      </c>
      <c r="D18" s="456">
        <f>IF(ISNUMBER(Datos!R18),Datos!R18," - ")</f>
        <v>46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95</v>
      </c>
      <c r="C23" s="1150">
        <f>SUBTOTAL(9,C16:C22)</f>
        <v>123</v>
      </c>
      <c r="D23" s="1148">
        <f>SUBTOTAL(9,D16:D22)</f>
        <v>428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445</v>
      </c>
      <c r="C31" s="1089">
        <f>SUBTOTAL(9,C8:C30)</f>
        <v>579</v>
      </c>
      <c r="D31" s="1090">
        <f>SUBTOTAL(9,D8:D30)</f>
        <v>8218</v>
      </c>
    </row>
    <row r="32" spans="1:4" ht="7.5" customHeight="1"/>
    <row r="33" spans="1:1" ht="6" customHeight="1"/>
    <row r="34" spans="1:1">
      <c r="A34" s="439" t="str">
        <f>Criterios!A4</f>
        <v>Fecha Informe: 05 may. 2023</v>
      </c>
    </row>
    <row r="39" spans="1:1">
      <c r="A39" s="462"/>
    </row>
  </sheetData>
  <sheetProtection algorithmName="SHA-512" hashValue="rSg0s0sVsig4Yh+z0PENN3+OCeDP4q/qoYDhrYC7KD5JZRIl8PnfQYYM3CC/0HOgqWIwc72ku1/IUgXYbLMATw==" saltValue="EP2i3DFmoL2Fb8IAm4M2V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LAS PALMAS</v>
      </c>
    </row>
    <row r="4" spans="1:11" ht="10.5" customHeight="1" thickBot="1">
      <c r="B4" s="439" t="str">
        <f>Criterios!A11 &amp;"  "&amp;Criterios!B11</f>
        <v>Resumenes por Partidos Judiciales  ARRECIFE</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-9.355509355509356E-2</v>
      </c>
      <c r="C9" s="515">
        <f>IF(ISNUMBER(
   IF(J_V="SI",(Datos!J9-Datos!T9)/Datos!T9,(Datos!J9+Datos!Z9-(Datos!T9+Datos!AH9))/(Datos!T9+Datos!AH9))
     ),IF(J_V="SI",(Datos!J9-Datos!T9)/Datos!T9,(Datos!J9+Datos!Z9-(Datos!T9+Datos!AH9))/(Datos!T9+Datos!AH9))," - ")</f>
        <v>0.17819614711033274</v>
      </c>
      <c r="D9" s="515">
        <f>IF(ISNUMBER(
   IF(J_V="SI",(Datos!K9-Datos!U9)/Datos!U9,(Datos!K9+Datos!AA9-(Datos!U9+Datos!AI9))/(Datos!U9+Datos!AI9))
     ),IF(J_V="SI",(Datos!K9-Datos!U9)/Datos!U9,(Datos!K9+Datos!AA9-(Datos!U9+Datos!AI9))/(Datos!U9+Datos!AI9))," - ")</f>
        <v>-4.5173745173745172E-2</v>
      </c>
      <c r="E9" s="515">
        <f>IF(ISNUMBER(
   IF(J_V="SI",(Datos!L9-Datos!V9)/Datos!V9,(Datos!L9+Datos!AB9-(Datos!V9+Datos!AJ9))/(Datos!V9+Datos!AJ9))
     ),IF(J_V="SI",(Datos!L9-Datos!V9)/Datos!V9,(Datos!L9+Datos!AB9-(Datos!V9+Datos!AJ9))/(Datos!V9+Datos!AJ9))," - ")</f>
        <v>1.6429840142095916E-2</v>
      </c>
      <c r="F9" s="515">
        <f>IF(ISNUMBER((Datos!M9-Datos!W9)/Datos!W9),(Datos!M9-Datos!W9)/Datos!W9," - ")</f>
        <v>-0.18699186991869918</v>
      </c>
      <c r="G9" s="516">
        <f>IF(ISNUMBER((Datos!N9-Datos!X9)/Datos!X9),(Datos!N9-Datos!X9)/Datos!X9," - ")</f>
        <v>2.4096385542168676E-2</v>
      </c>
      <c r="H9" s="514">
        <f>IF(ISNUMBER(((NºAsuntos!G9/NºAsuntos!E9)-Datos!BD9)/Datos!BD9),((NºAsuntos!G9/NºAsuntos!E9)-Datos!BD9)/Datos!BD9," - ")</f>
        <v>-0.18958633741242434</v>
      </c>
      <c r="I9" s="515">
        <f>IF(ISNUMBER(((NºAsuntos!I9/NºAsuntos!G9)-Datos!BE9)/Datos!BE9),((NºAsuntos!I9/NºAsuntos!G9)-Datos!BE9)/Datos!BE9," - ")</f>
        <v>6.4518109974940716E-2</v>
      </c>
      <c r="J9" s="521">
        <f>IF(ISNUMBER((('Resol  Asuntos'!D9/NºAsuntos!G9)-Datos!BF9)/Datos!BF9),(('Resol  Asuntos'!D9/NºAsuntos!G9)-Datos!BF9)/Datos!BF9," - ")</f>
        <v>-0.70310107488300999</v>
      </c>
      <c r="K9" s="522">
        <f>IF(ISNUMBER((((NºAsuntos!C9+NºAsuntos!E9)/NºAsuntos!G9)-Datos!BG9)/Datos!BG9),(((NºAsuntos!C9+NºAsuntos!E9)/NºAsuntos!G9)-Datos!BG9)/Datos!BG9," - ")</f>
        <v>4.0962724461112709E-2</v>
      </c>
    </row>
    <row r="10" spans="1:11">
      <c r="A10" s="450" t="str">
        <f>Datos!A10</f>
        <v>Jdos. Violencia contra la mujer</v>
      </c>
      <c r="B10" s="514">
        <f>IF(ISNUMBER((Datos!I10-Datos!S10)/Datos!S10),(Datos!I10-Datos!S10)/Datos!S10," - ")</f>
        <v>-0.41860465116279072</v>
      </c>
      <c r="C10" s="515">
        <f>IF(ISNUMBER((Datos!J10-Datos!T10)/Datos!T10),(Datos!J10-Datos!T10)/Datos!T10," - ")</f>
        <v>0.55000000000000004</v>
      </c>
      <c r="D10" s="515">
        <f>IF(ISNUMBER((Datos!K10-Datos!U10)/Datos!U10),(Datos!K10-Datos!U10)/Datos!U10," - ")</f>
        <v>-0.1388888888888889</v>
      </c>
      <c r="E10" s="515">
        <f>IF(ISNUMBER((Datos!L10-Datos!V10)/Datos!V10),(Datos!L10-Datos!V10)/Datos!V10," - ")</f>
        <v>-7.407407407407407E-2</v>
      </c>
      <c r="F10" s="515">
        <f>IF(ISNUMBER((Datos!M10-Datos!W10)/Datos!W10),(Datos!M10-Datos!W10)/Datos!W10," - ")</f>
        <v>-0.35294117647058826</v>
      </c>
      <c r="G10" s="516">
        <f>IF(ISNUMBER((Datos!N10-Datos!X10)/Datos!X10),(Datos!N10-Datos!X10)/Datos!X10," - ")</f>
        <v>-5.8823529411764705E-2</v>
      </c>
      <c r="H10" s="514">
        <f>IF(ISNUMBER(((NºAsuntos!G10/NºAsuntos!E10)-Datos!BD10)/Datos!BD10),((NºAsuntos!G10/NºAsuntos!E10)-Datos!BD10)/Datos!BD10," - ")</f>
        <v>-0.44444444444444448</v>
      </c>
      <c r="I10" s="515">
        <f>IF(ISNUMBER(((NºAsuntos!I10/NºAsuntos!G10)-Datos!BE10)/Datos!BE10),((NºAsuntos!I10/NºAsuntos!G10)-Datos!BE10)/Datos!BE10," - ")</f>
        <v>7.5268817204301008E-2</v>
      </c>
      <c r="J10" s="521">
        <f>IF(ISNUMBER((('Resol  Asuntos'!D10/NºAsuntos!G10)-Datos!BF10)/Datos!BF10),(('Resol  Asuntos'!D10/NºAsuntos!G10)-Datos!BF10)/Datos!BF10," - ")</f>
        <v>-0.24857685009487659</v>
      </c>
      <c r="K10" s="522">
        <f>IF(ISNUMBER((((NºAsuntos!C10+NºAsuntos!E10)/NºAsuntos!G10)-Datos!BG10)/Datos!BG10),(((NºAsuntos!C10+NºAsuntos!E10)/NºAsuntos!G10)-Datos!BG10)/Datos!BG10," - ")</f>
        <v>3.2258064516129004E-2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-0.5</v>
      </c>
      <c r="C12" s="515" t="str">
        <f>IF(ISNUMBER(
   IF(J_V="SI",(Datos!J12-Datos!T12)/Datos!T12,(Datos!J12+Datos!Z12-(Datos!T12+Datos!AH12))/(Datos!T12+Datos!AH12))
     ),IF(J_V="SI",(Datos!J12-Datos!T12)/Datos!T12,(Datos!J12+Datos!Z12-(Datos!T12+Datos!AH12))/(Datos!T12+Datos!AH12))," - ")</f>
        <v xml:space="preserve"> - </v>
      </c>
      <c r="D12" s="515">
        <f>IF(ISNUMBER(
   IF(J_V="SI",(Datos!K12-Datos!U12)/Datos!U12,(Datos!K12+Datos!AA12-(Datos!U12+Datos!AI12))/(Datos!U12+Datos!AI12))
     ),IF(J_V="SI",(Datos!K12-Datos!U12)/Datos!U12,(Datos!K12+Datos!AA12-(Datos!U12+Datos!AI12))/(Datos!U12+Datos!AI12))," - ")</f>
        <v>-1</v>
      </c>
      <c r="E12" s="515">
        <f>IF(ISNUMBER(
   IF(J_V="SI",(Datos!L12-Datos!V12)/Datos!V12,(Datos!L12+Datos!AB12-(Datos!V12+Datos!AJ12))/(Datos!V12+Datos!AJ12))
     ),IF(J_V="SI",(Datos!L12-Datos!V12)/Datos!V12,(Datos!L12+Datos!AB12-(Datos!V12+Datos!AJ12))/(Datos!V12+Datos!AJ12))," - ")</f>
        <v>0</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-9.6601441812564373E-2</v>
      </c>
      <c r="C14" s="1152">
        <f>IF(ISNUMBER(
   IF(J_V="SI",(Datos!J14-Datos!T14)/Datos!T14,(Datos!J14+Datos!Z14-(Datos!T14+Datos!AH14))/(Datos!T14+Datos!AH14))
     ),IF(J_V="SI",(Datos!J14-Datos!T14)/Datos!T14,(Datos!J14+Datos!Z14-(Datos!T14+Datos!AH14))/(Datos!T14+Datos!AH14))," - ")</f>
        <v>0.1814236111111111</v>
      </c>
      <c r="D14" s="1152">
        <f>IF(ISNUMBER(
   IF(J_V="SI",(Datos!K14-Datos!U14)/Datos!U14,(Datos!K14+Datos!AA14-(Datos!U14+Datos!AI14))/(Datos!U14+Datos!AI14))
     ),IF(J_V="SI",(Datos!K14-Datos!U14)/Datos!U14,(Datos!K14+Datos!AA14-(Datos!U14+Datos!AI14))/(Datos!U14+Datos!AI14))," - ")</f>
        <v>-4.6821469356680627E-2</v>
      </c>
      <c r="E14" s="1152">
        <f>IF(ISNUMBER(
   IF(J_V="SI",(Datos!L14-Datos!V14)/Datos!V14,(Datos!L14+Datos!AB14-(Datos!V14+Datos!AJ14))/(Datos!V14+Datos!AJ14))
     ),IF(J_V="SI",(Datos!L14-Datos!V14)/Datos!V14,(Datos!L14+Datos!AB14-(Datos!V14+Datos!AJ14))/(Datos!V14+Datos!AJ14))," - ")</f>
        <v>1.5887025595763458E-2</v>
      </c>
      <c r="F14" s="1153">
        <f>IF(ISNUMBER((Datos!M14-Datos!W14)/Datos!W14),(Datos!M14-Datos!W14)/Datos!W14," - ")</f>
        <v>-0.1925343811394892</v>
      </c>
      <c r="G14" s="1154">
        <f>IF(ISNUMBER((Datos!N14-Datos!X14)/Datos!X14),(Datos!N14-Datos!X14)/Datos!X14," - ")</f>
        <v>2.3109243697478993E-2</v>
      </c>
      <c r="H14" s="1154">
        <f>IF(ISNUMBER(((NºAsuntos!G14/NºAsuntos!E14)-Datos!BD14)/Datos!BD14),((NºAsuntos!G14/NºAsuntos!E14)-Datos!BD14)/Datos!BD14," - ")</f>
        <v>-0.19319495422402366</v>
      </c>
      <c r="I14" s="1154">
        <f>IF(ISNUMBER(((NºAsuntos!I14/NºAsuntos!G14)-Datos!BE14)/Datos!BE14),((NºAsuntos!I14/NºAsuntos!G14)-Datos!BE14)/Datos!BE14," - ")</f>
        <v>6.5788824377024963E-2</v>
      </c>
      <c r="J14" s="1154">
        <f>IF(ISNUMBER((('Resol  Asuntos'!D14/NºAsuntos!G14)-Datos!BF14)/Datos!BF14),(('Resol  Asuntos'!D14/NºAsuntos!G14)-Datos!BF14)/Datos!BF14," - ")</f>
        <v>-0.69804699036163975</v>
      </c>
      <c r="K14" s="1154">
        <f>IF(ISNUMBER((((NºAsuntos!C14+NºAsuntos!E14)/NºAsuntos!G14)-Datos!BG14)/Datos!BG14),(((NºAsuntos!C14+NºAsuntos!E14)/NºAsuntos!G14)-Datos!BG14)/Datos!BG14," - ")</f>
        <v>4.1647569783025244E-2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-0.25935288169868553</v>
      </c>
      <c r="C16" s="515">
        <f>IF(ISNUMBER(
   IF(D_I="SI",(Datos!J16-Datos!T16)/Datos!T16,(Datos!J16+Datos!AD16-(Datos!T16+Datos!AL16))/(Datos!T16+Datos!AL16))
     ),IF(D_I="SI",(Datos!J16-Datos!T16)/Datos!T16,(Datos!J16+Datos!AD16-(Datos!T16+Datos!AL16))/(Datos!T16+Datos!AL16))," - ")</f>
        <v>-0.12421894526368409</v>
      </c>
      <c r="D16" s="515">
        <f>IF(ISNUMBER(
   IF(D_I="SI",(Datos!K16-Datos!U16)/Datos!U16,(Datos!K16+Datos!AE16-(Datos!U16+Datos!AM16))/(Datos!U16+Datos!AM16))
     ),IF(D_I="SI",(Datos!K16-Datos!U16)/Datos!U16,(Datos!K16+Datos!AE16-(Datos!U16+Datos!AM16))/(Datos!U16+Datos!AM16))," - ")</f>
        <v>-0.17309523809523811</v>
      </c>
      <c r="E16" s="515">
        <f>IF(ISNUMBER(
   IF(D_I="SI",(Datos!L16-Datos!V16)/Datos!V16,(Datos!L16+Datos!AF16-(Datos!V16+Datos!AN16))/(Datos!V16+Datos!AN16))
     ),IF(D_I="SI",(Datos!L16-Datos!V16)/Datos!V16,(Datos!L16+Datos!AF16-(Datos!V16+Datos!AN16))/(Datos!V16+Datos!AN16))," - ")</f>
        <v>-0.13943112102621305</v>
      </c>
      <c r="F16" s="515">
        <f>IF(ISNUMBER((Datos!M16-Datos!W16)/Datos!W16),(Datos!M16-Datos!W16)/Datos!W16," - ")</f>
        <v>-3.6855036855036855E-2</v>
      </c>
      <c r="G16" s="516">
        <f>IF(ISNUMBER((Datos!N16-Datos!X16)/Datos!X16),(Datos!N16-Datos!X16)/Datos!X16," - ")</f>
        <v>-0.23982798544492226</v>
      </c>
      <c r="H16" s="514">
        <f>IF(ISNUMBER(((NºAsuntos!G16/NºAsuntos!E16)-Datos!BD16)/Datos!BD16),((NºAsuntos!G16/NºAsuntos!E16)-Datos!BD16)/Datos!BD16," - ")</f>
        <v>-5.5808803544248817E-2</v>
      </c>
      <c r="I16" s="515">
        <f>IF(ISNUMBER(((NºAsuntos!I16/NºAsuntos!G16)-Datos!BE16)/Datos!BE16),((NºAsuntos!I16/NºAsuntos!G16)-Datos!BE16)/Datos!BE16," - ")</f>
        <v>4.0710996743422205E-2</v>
      </c>
      <c r="J16" s="521">
        <f>IF(ISNUMBER((('Resol  Asuntos'!D16/NºAsuntos!G16)-Datos!BF16)/Datos!BF16),(('Resol  Asuntos'!D16/NºAsuntos!G16)-Datos!BF16)/Datos!BF16," - ")</f>
        <v>0.16475924135008496</v>
      </c>
      <c r="K16" s="522">
        <f>IF(ISNUMBER((((NºAsuntos!C16+NºAsuntos!E16)/NºAsuntos!G16)-Datos!BG16)/Datos!BG16),(((NºAsuntos!C16+NºAsuntos!E16)/NºAsuntos!G16)-Datos!BG16)/Datos!BG16," - ")</f>
        <v>5.0437111520035376E-3</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f>IF(ISNUMBER(
   IF(D_I="SI",(Datos!L17-Datos!V17)/Datos!V17,(Datos!L17+Datos!AF17-(Datos!V17+Datos!AN17))/(Datos!V17+Datos!AN17))
     ),IF(D_I="SI",(Datos!L17-Datos!V17)/Datos!V17,(Datos!L17+Datos!AF17-(Datos!V17+Datos!AN17))/(Datos!V17+Datos!AN17))," - ")</f>
        <v>0</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-2.0547945205479451E-2</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-7.246376811594203E-3</v>
      </c>
      <c r="E18" s="515">
        <f>IF(ISNUMBER(
   IF(D_I="SI",(Datos!L18-Datos!V18)/Datos!V18,(Datos!L18+Datos!AF18-(Datos!V18+Datos!AN18))/(Datos!V18+Datos!AN18))
     ),IF(D_I="SI",(Datos!L18-Datos!V18)/Datos!V18,(Datos!L18+Datos!AF18-(Datos!V18+Datos!AN18))/(Datos!V18+Datos!AN18))," - ")</f>
        <v>-0.24087591240875914</v>
      </c>
      <c r="F18" s="515">
        <f>IF(ISNUMBER((Datos!M18-Datos!W18)/Datos!W18),(Datos!M18-Datos!W18)/Datos!W18," - ")</f>
        <v>0.27777777777777779</v>
      </c>
      <c r="G18" s="516">
        <f>IF(ISNUMBER((Datos!N18-Datos!X18)/Datos!X18),(Datos!N18-Datos!X18)/Datos!X18," - ")</f>
        <v>-0.26865671641791045</v>
      </c>
      <c r="H18" s="514">
        <f>IF(ISNUMBER(((NºAsuntos!G18/NºAsuntos!E18)-Datos!BD18)/Datos!BD18),((NºAsuntos!G18/NºAsuntos!E18)-Datos!BD18)/Datos!BD18," - ")</f>
        <v>-7.2463768115940087E-3</v>
      </c>
      <c r="I18" s="515">
        <f>IF(ISNUMBER(((NºAsuntos!I18/NºAsuntos!G18)-Datos!BE18)/Datos!BE18),((NºAsuntos!I18/NºAsuntos!G18)-Datos!BE18)/Datos!BE18," - ")</f>
        <v>-0.23533486067451651</v>
      </c>
      <c r="J18" s="521">
        <f>IF(ISNUMBER((('Resol  Asuntos'!D18/NºAsuntos!G18)-Datos!BF18)/Datos!BF18),(('Resol  Asuntos'!D18/NºAsuntos!G18)-Datos!BF18)/Datos!BF18," - ")</f>
        <v>0.28710462287104616</v>
      </c>
      <c r="K18" s="522">
        <f>IF(ISNUMBER((((NºAsuntos!C18+NºAsuntos!E18)/NºAsuntos!G18)-Datos!BG18)/Datos!BG18),(((NºAsuntos!C18+NºAsuntos!E18)/NºAsuntos!G18)-Datos!BG18)/Datos!BG18," - ")</f>
        <v>-3.6894492368944672E-3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-0.24282352941176472</v>
      </c>
      <c r="C23" s="1152">
        <f>IF(ISNUMBER(
   IF(Criterios!B14="SI",(Datos!J23-Datos!T23)/Datos!T23,(Datos!J23+Datos!AD23-(Datos!T23+Datos!AL23))/(Datos!T23+Datos!AL23))
     ),IF(Criterios!B14="SI",(Datos!J23-Datos!T23)/Datos!T23,(Datos!J23+Datos!AD23-(Datos!T23+Datos!AL23))/(Datos!T23+Datos!AL23))," - ")</f>
        <v>-0.12033898305084746</v>
      </c>
      <c r="D23" s="1152">
        <f>IF(ISNUMBER(
   IF(Criterios!B14="SI",(Datos!K23-Datos!U23)/Datos!U23,(Datos!K23+Datos!AE23-(Datos!U23+Datos!AM23))/(Datos!U23+Datos!AM23))
     ),IF(Criterios!B14="SI",(Datos!K23-Datos!U23)/Datos!U23,(Datos!K23+Datos!AE23-(Datos!U23+Datos!AM23))/(Datos!U23+Datos!AM23))," - ")</f>
        <v>-0.16781927155371137</v>
      </c>
      <c r="E23" s="1152">
        <f>IF(ISNUMBER(
   IF(Criterios!B14="SI",(Datos!L23-Datos!V23)/Datos!V23,(Datos!L23+Datos!AF23-(Datos!V23+Datos!AN23))/(Datos!V23+Datos!AN23))
     ),IF(Criterios!B14="SI",(Datos!L23-Datos!V23)/Datos!V23,(Datos!L23+Datos!AF23-(Datos!V23+Datos!AN23))/(Datos!V23+Datos!AN23))," - ")</f>
        <v>-0.14655618850336613</v>
      </c>
      <c r="F23" s="1153">
        <f>IF(ISNUMBER((Datos!M23-Datos!W23)/Datos!W23),(Datos!M23-Datos!W23)/Datos!W23," - ")</f>
        <v>-1.1286681715575621E-2</v>
      </c>
      <c r="G23" s="1154">
        <f>IF(ISNUMBER((Datos!N23-Datos!X23)/Datos!X23),(Datos!N23-Datos!X23)/Datos!X23," - ")</f>
        <v>-0.24045307443365696</v>
      </c>
      <c r="H23" s="1154">
        <f>IF(ISNUMBER(((NºAsuntos!G23/NºAsuntos!E23)-Datos!BD23)/Datos!BD23),((NºAsuntos!G23/NºAsuntos!E23)-Datos!BD23)/Datos!BD23," - ")</f>
        <v>-5.3975665157398212E-2</v>
      </c>
      <c r="I23" s="1154">
        <f>IF(ISNUMBER(((NºAsuntos!I23/NºAsuntos!G23)-Datos!BE23)/Datos!BE23),((NºAsuntos!I23/NºAsuntos!G23)-Datos!BE23)/Datos!BE23," - ")</f>
        <v>2.5551039964653157E-2</v>
      </c>
      <c r="J23" s="1154">
        <f>IF(ISNUMBER((('Resol  Asuntos'!D23/NºAsuntos!G23)-Datos!BF23)/Datos!BF23),(('Resol  Asuntos'!D23/NºAsuntos!G23)-Datos!BF23)/Datos!BF23," - ")</f>
        <v>0.18809927277502303</v>
      </c>
      <c r="K23" s="1154">
        <f>IF(ISNUMBER((((NºAsuntos!C23+NºAsuntos!E23)/NºAsuntos!G23)-Datos!BG23)/Datos!BG23),(((NºAsuntos!C23+NºAsuntos!E23)/NºAsuntos!G23)-Datos!BG23)/Datos!BG23," - ")</f>
        <v>7.0523525777715828E-3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-0.14111747851002865</v>
      </c>
      <c r="C31" s="1092">
        <f>IF(ISNUMBER(
   IF(J_V="SI",(Datos!J31-Datos!T31)/Datos!T31,(Datos!J31+Datos!Z31-(Datos!T31+Datos!AH31))/(Datos!T31+Datos!AH31))
     ),IF(J_V="SI",(Datos!J31-Datos!T31)/Datos!T31,(Datos!J31+Datos!Z31-(Datos!T31+Datos!AH31))/(Datos!T31+Datos!AH31))," - ")</f>
        <v>-1.2278520360584395E-2</v>
      </c>
      <c r="D31" s="1092">
        <f>IF(ISNUMBER(
   IF(J_V="SI",(Datos!K31-Datos!U31)/Datos!U31,(Datos!K31+Datos!AA31-(Datos!U31+Datos!AI31))/(Datos!U31+Datos!AI31))
     ),IF(J_V="SI",(Datos!K31-Datos!U31)/Datos!U31,(Datos!K31+Datos!AA31-(Datos!U31+Datos!AI31))/(Datos!U31+Datos!AI31))," - ")</f>
        <v>-0.12218234027279254</v>
      </c>
      <c r="E31" s="1092">
        <f>IF(ISNUMBER(
   IF(J_V="SI",(Datos!L31-Datos!V31)/Datos!V31,(Datos!L31+Datos!AB31-(Datos!V31+Datos!AJ31))/(Datos!V31+Datos!AJ31))
     ),IF(J_V="SI",(Datos!L31-Datos!V31)/Datos!V31,(Datos!L31+Datos!AB31-(Datos!V31+Datos!AJ31))/(Datos!V31+Datos!AJ31))," - ")</f>
        <v>-3.2647377378926194E-2</v>
      </c>
      <c r="F31" s="1093">
        <f>IF(ISNUMBER((Datos!M31-Datos!W31)/Datos!W31),(Datos!M31-Datos!W31)/Datos!W31," - ")</f>
        <v>-0.10819327731092437</v>
      </c>
      <c r="G31" s="1094">
        <f>IF(ISNUMBER((Datos!N31-Datos!X31)/Datos!X31),(Datos!N31-Datos!X31)/Datos!X31," - ")</f>
        <v>-0.15714918105356351</v>
      </c>
      <c r="H31" s="1095">
        <f>IF(ISNUMBER((Tasas!B31-Datos!BD31)/Datos!BD31),(Tasas!B31-Datos!BD31)/Datos!BD31," - ")</f>
        <v>-0.11127005150513722</v>
      </c>
      <c r="I31" s="1096">
        <f>IF(ISNUMBER((Tasas!C31-Datos!BE31)/Datos!BE31),(Tasas!C31-Datos!BE31)/Datos!BE31," - ")</f>
        <v>0.10199722220408555</v>
      </c>
      <c r="J31" s="1097">
        <f>IF(ISNUMBER((Tasas!D31-Datos!BF31)/Datos!BF31),(Tasas!D31-Datos!BF31)/Datos!BF31," - ")</f>
        <v>-0.48307255675044281</v>
      </c>
      <c r="K31" s="1097">
        <f>IF(ISNUMBER((Tasas!E31-Datos!BG31)/Datos!BG31),(Tasas!E31-Datos!BG31)/Datos!BG31," - ")</f>
        <v>4.88281666282094E-2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OsxgwZ+mmBa3EI+4Dt6pNXgIAS5Dvn44XLkAbZT9LBiBXIj8vmp2ZoZJ4wVLAgL6FQxrri4HnxWS7Y/TlvRfUg==" saltValue="S0nbhXqDl8PrTD6/efzkI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LAS PALMAS</v>
      </c>
    </row>
    <row r="4" spans="1:7" ht="11.25" customHeight="1" thickBot="1">
      <c r="B4" s="439" t="str">
        <f>Criterios!A11 &amp;"  "&amp;Criterios!B11</f>
        <v>Resumenes por Partidos Judiciales  ARRECIFE</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0.91898922333704947</v>
      </c>
      <c r="C9" s="498">
        <f>IF(ISNUMBER(NºAsuntos!I9/NºAsuntos!G9),NºAsuntos!I9/NºAsuntos!G9," - ")</f>
        <v>1.8511928831378892</v>
      </c>
      <c r="D9" s="499">
        <f>IF(ISNUMBER('Resol  Asuntos'!D9/NºAsuntos!G9),'Resol  Asuntos'!D9/NºAsuntos!G9," - ")</f>
        <v>0.16174686615446826</v>
      </c>
      <c r="E9" s="500">
        <f>IF(ISNUMBER((NºAsuntos!C9+NºAsuntos!E9)/NºAsuntos!G9),(NºAsuntos!C9+NºAsuntos!E9)/NºAsuntos!G9," - ")</f>
        <v>2.8511928831378892</v>
      </c>
      <c r="G9" s="523"/>
    </row>
    <row r="10" spans="1:7">
      <c r="A10" s="450" t="str">
        <f>Datos!A10</f>
        <v>Jdos. Violencia contra la mujer</v>
      </c>
      <c r="B10" s="497">
        <f>IF(ISNUMBER(NºAsuntos!G10/NºAsuntos!E10),NºAsuntos!G10/NºAsuntos!E10," - ")</f>
        <v>1</v>
      </c>
      <c r="C10" s="498">
        <f>IF(ISNUMBER(NºAsuntos!I10/NºAsuntos!G10),NºAsuntos!I10/NºAsuntos!G10," - ")</f>
        <v>0.80645161290322576</v>
      </c>
      <c r="D10" s="499">
        <f>IF(ISNUMBER('Resol  Asuntos'!D10/NºAsuntos!G10),'Resol  Asuntos'!D10/NºAsuntos!G10," - ")</f>
        <v>0.35483870967741937</v>
      </c>
      <c r="E10" s="500">
        <f>IF(ISNUMBER((NºAsuntos!C10+NºAsuntos!E10)/NºAsuntos!G10),(NºAsuntos!C10+NºAsuntos!E10)/NºAsuntos!G10," - ")</f>
        <v>1.8064516129032258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0.91991182953710504</v>
      </c>
      <c r="C14" s="1156">
        <f>IF(ISNUMBER(NºAsuntos!I14/NºAsuntos!G14),NºAsuntos!I14/NºAsuntos!G14," - ")</f>
        <v>1.8386581469648562</v>
      </c>
      <c r="D14" s="1157">
        <f>IF(ISNUMBER('Resol  Asuntos'!D14/NºAsuntos!G14),'Resol  Asuntos'!D14/NºAsuntos!G14," - ")</f>
        <v>0.1641373801916933</v>
      </c>
      <c r="E14" s="1158">
        <f>IF(ISNUMBER((NºAsuntos!C14+NºAsuntos!E14)/NºAsuntos!G14),(NºAsuntos!C14+NºAsuntos!E14)/NºAsuntos!G14," - ")</f>
        <v>2.8386581469648564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0.99115296803652964</v>
      </c>
      <c r="C16" s="498">
        <f>IF(ISNUMBER(NºAsuntos!I16/NºAsuntos!G16),NºAsuntos!I16/NºAsuntos!G16," - ")</f>
        <v>0.44428448027641809</v>
      </c>
      <c r="D16" s="499">
        <f>IF(ISNUMBER('Resol  Asuntos'!D16/NºAsuntos!G16),'Resol  Asuntos'!D16/NºAsuntos!G16," - ")</f>
        <v>0.1128707169594011</v>
      </c>
      <c r="E16" s="500">
        <f>IF(ISNUMBER((NºAsuntos!C16+NºAsuntos!E16)/NºAsuntos!G16),(NºAsuntos!C16+NºAsuntos!E16)/NºAsuntos!G16," - ")</f>
        <v>1.4307515116613878</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1.0620155038759691</v>
      </c>
      <c r="C18" s="498">
        <f>IF(ISNUMBER(NºAsuntos!I18/NºAsuntos!G18),NºAsuntos!I18/NºAsuntos!G18," - ")</f>
        <v>0.75912408759124084</v>
      </c>
      <c r="D18" s="499">
        <f>IF(ISNUMBER('Resol  Asuntos'!D18/NºAsuntos!G18),'Resol  Asuntos'!D18/NºAsuntos!G18," - ")</f>
        <v>0.33576642335766421</v>
      </c>
      <c r="E18" s="500">
        <f>IF(ISNUMBER((NºAsuntos!C18+NºAsuntos!E18)/NºAsuntos!G18),(NºAsuntos!C18+NºAsuntos!E18)/NºAsuntos!G18," - ")</f>
        <v>1.9854014598540146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0.99366914395816131</v>
      </c>
      <c r="C23" s="1156">
        <f>IF(ISNUMBER(NºAsuntos!I23/NºAsuntos!G23),NºAsuntos!I23/NºAsuntos!G23," - ")</f>
        <v>0.45650969529085872</v>
      </c>
      <c r="D23" s="1159">
        <f>IF(ISNUMBER('Resol  Asuntos'!D23/NºAsuntos!G23),'Resol  Asuntos'!D23/NºAsuntos!G23," - ")</f>
        <v>0.12132963988919668</v>
      </c>
      <c r="E23" s="1158">
        <f>IF(ISNUMBER((NºAsuntos!C23+NºAsuntos!E23)/NºAsuntos!G23),(NºAsuntos!C23+NºAsuntos!E23)/NºAsuntos!G23," - ")</f>
        <v>1.4520775623268698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0.96207710464201412</v>
      </c>
      <c r="C31" s="1099">
        <f>IF(ISNUMBER(NºAsuntos!I31/NºAsuntos!G31),NºAsuntos!I31/NºAsuntos!G31," - ")</f>
        <v>1.0225711481844946</v>
      </c>
      <c r="D31" s="1100">
        <f>IF(ISNUMBER('Resol  Asuntos'!D31/NºAsuntos!G31),'Resol  Asuntos'!D31/NºAsuntos!G31," - ")</f>
        <v>0.13886162904808635</v>
      </c>
      <c r="E31" s="1101">
        <f>IF(ISNUMBER((NºAsuntos!C31+NºAsuntos!E31)/NºAsuntos!G31),(NºAsuntos!C31+NºAsuntos!E31)/NºAsuntos!G31," - ")</f>
        <v>2.0199542034674516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6ZaiuKo5dquOPMSLU5z69lFiet7uy2tug09HRBCIc/9Yr2RcDOoZfyZfQzYaKp5V87P3Z4QwhxkzT58pDp28EA==" saltValue="0RxY8Bmgckv266abYrO2n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LAS PALMAS</v>
      </c>
      <c r="N2" s="368" t="str">
        <f>Criterios!A11 &amp;"  "&amp;Criterios!B11</f>
        <v>Resumenes por Partidos Judiciales  ARRECIFE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348</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438</v>
      </c>
      <c r="Y9" s="374">
        <f>SUM(W9:X9)</f>
        <v>438</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7048</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400</v>
      </c>
      <c r="AJ9" s="243" t="str">
        <f>IF(ISNUMBER(Datos!BW9),Datos!BW9," - ")</f>
        <v xml:space="preserve"> - </v>
      </c>
      <c r="AK9" s="242" t="str">
        <f>IF(ISNUMBER(Datos!BX9),Datos!BX9," - ")</f>
        <v xml:space="preserve"> - </v>
      </c>
      <c r="AL9" s="266">
        <f>IF(ISNUMBER(NºAsuntos!G9/NºAsuntos!E9),NºAsuntos!G9/NºAsuntos!E9," - ")</f>
        <v>0.91898922333704947</v>
      </c>
      <c r="AM9" s="284">
        <f>IF(ISNUMBER(((NºAsuntos!I9/NºAsuntos!G9)*11)/factor_trimestre),((NºAsuntos!I9/NºAsuntos!G9)*11)/factor_trimestre," - ")</f>
        <v>5.5535786494136676</v>
      </c>
      <c r="AN9" s="267">
        <f>IF(ISNUMBER('Resol  Asuntos'!D9/NºAsuntos!G9),'Resol  Asuntos'!D9/NºAsuntos!G9," - ")</f>
        <v>0.16174686615446826</v>
      </c>
      <c r="AO9" s="268">
        <f>IF(ISNUMBER((NºAsuntos!C9+NºAsuntos!E9)/NºAsuntos!G9),(NºAsuntos!C9+NºAsuntos!E9)/NºAsuntos!G9," - ")</f>
        <v>2.8511928831378892</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25</v>
      </c>
      <c r="G10" s="373">
        <f>IF(ISNUMBER(Datos!I10),Datos!I10," - ")</f>
        <v>25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31</v>
      </c>
      <c r="X10" s="240">
        <f>IF(ISNUMBER(Datos!Q10),Datos!Q10," - ")</f>
        <v>1</v>
      </c>
      <c r="Y10" s="374">
        <f t="shared" ref="Y10:Y13" si="0">SUM(W10:X10)</f>
        <v>32</v>
      </c>
      <c r="Z10" s="375" t="str">
        <f>IF(ISNUMBER(Datos!CC10),Datos!CC10," - ")</f>
        <v xml:space="preserve"> - </v>
      </c>
      <c r="AA10" s="372">
        <f>IF(ISNUMBER(Datos!L10),Datos!L10,"-")</f>
        <v>25</v>
      </c>
      <c r="AB10" s="374">
        <f>IF(ISNUMBER(Datos!R10),Datos!R10," - ")</f>
        <v>18</v>
      </c>
      <c r="AC10" s="374">
        <f t="shared" ref="AC10:AC13" si="1">IF(ISNUMBER(AA10+AB10),AA10+AB10," - ")</f>
        <v>43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2.4193548387096775</v>
      </c>
      <c r="AN10" s="267">
        <f>IF(ISNUMBER('Resol  Asuntos'!D10/NºAsuntos!G10),'Resol  Asuntos'!D10/NºAsuntos!G10," - ")</f>
        <v>0.35483870967741937</v>
      </c>
      <c r="AO10" s="268">
        <f>IF(ISNUMBER((NºAsuntos!C10+NºAsuntos!E10)/NºAsuntos!G10),(NºAsuntos!C10+NºAsuntos!E10)/NºAsuntos!G10," - ")</f>
        <v>1.8064516129032258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17</v>
      </c>
      <c r="Y12" s="374">
        <f t="shared" si="0"/>
        <v>17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724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25</v>
      </c>
      <c r="G14" s="1163">
        <f t="shared" si="5"/>
        <v>25</v>
      </c>
      <c r="H14" s="1162">
        <f t="shared" si="5"/>
        <v>0</v>
      </c>
      <c r="I14" s="1164">
        <f t="shared" si="5"/>
        <v>0</v>
      </c>
      <c r="J14" s="1164">
        <f t="shared" si="5"/>
        <v>0</v>
      </c>
      <c r="K14" s="1164">
        <f t="shared" si="5"/>
        <v>0</v>
      </c>
      <c r="L14" s="1164">
        <f t="shared" si="5"/>
        <v>350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31</v>
      </c>
      <c r="X14" s="1164">
        <f t="shared" si="6"/>
        <v>456</v>
      </c>
      <c r="Y14" s="1165">
        <f t="shared" si="6"/>
        <v>487</v>
      </c>
      <c r="Z14" s="1165">
        <f t="shared" si="6"/>
        <v>0</v>
      </c>
      <c r="AA14" s="1165">
        <f t="shared" si="6"/>
        <v>25</v>
      </c>
      <c r="AB14" s="1165">
        <f t="shared" si="6"/>
        <v>7790</v>
      </c>
      <c r="AC14" s="1165">
        <f t="shared" si="6"/>
        <v>43</v>
      </c>
      <c r="AD14" s="1165">
        <f t="shared" si="6"/>
        <v>0</v>
      </c>
      <c r="AE14" s="1169">
        <f t="shared" si="6"/>
        <v>0</v>
      </c>
      <c r="AF14" s="1162">
        <f t="shared" si="6"/>
        <v>0</v>
      </c>
      <c r="AG14" s="1170">
        <f t="shared" si="6"/>
        <v>0</v>
      </c>
      <c r="AH14" s="1167">
        <f t="shared" si="6"/>
        <v>0</v>
      </c>
      <c r="AI14" s="1162">
        <f t="shared" si="6"/>
        <v>411</v>
      </c>
      <c r="AJ14" s="1164">
        <f t="shared" si="6"/>
        <v>0</v>
      </c>
      <c r="AK14" s="1167">
        <f>SUBTOTAL(9,AK9:AK13)</f>
        <v>0</v>
      </c>
      <c r="AL14" s="1171">
        <f>IF(ISNUMBER(NºAsuntos!G14/NºAsuntos!E14),NºAsuntos!G14/NºAsuntos!E14," - ")</f>
        <v>0.91991182953710504</v>
      </c>
      <c r="AM14" s="1171">
        <f>IF(ISNUMBER(((NºAsuntos!I14/NºAsuntos!G14)*11)/factor_trimestre),((NºAsuntos!I14/NºAsuntos!G14)*11)/factor_trimestre," - ")</f>
        <v>5.5159744408945688</v>
      </c>
      <c r="AN14" s="1172">
        <f>IF(ISNUMBER('Resol  Asuntos'!D14/NºAsuntos!G14),'Resol  Asuntos'!D14/NºAsuntos!G14," - ")</f>
        <v>0.1641373801916933</v>
      </c>
      <c r="AO14" s="1173">
        <f>IF(ISNUMBER((NºAsuntos!C14+NºAsuntos!E14)/NºAsuntos!G14),(NºAsuntos!C14+NºAsuntos!E14)/NºAsuntos!G14," - ")</f>
        <v>2.8386581469648564</v>
      </c>
      <c r="AP14" s="1174" t="str">
        <f t="shared" si="2"/>
        <v xml:space="preserve"> - </v>
      </c>
      <c r="AQ14" s="1174">
        <f>IF(ISNUMBER((H14-W14+K14)/(F14)),(H14-W14+K14)/(F14)," - ")</f>
        <v>-1.24</v>
      </c>
      <c r="AR14" s="1175">
        <f>IF(ISNUMBER((Datos!P14-Datos!Q14)/(Datos!R14-Datos!P14+Datos!Q14)),(Datos!P14-Datos!Q14)/(Datos!R14-Datos!P14+Datos!Q14)," - ")</f>
        <v>-1.3424518743667679E-2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1512</v>
      </c>
      <c r="G16" s="373">
        <f>IF(ISNUMBER(IF(D_I="SI",Datos!I16,Datos!I16+Datos!AC16)),IF(D_I="SI",Datos!I16,Datos!I16+Datos!AC16)," - ")</f>
        <v>1465</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90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3473</v>
      </c>
      <c r="X16" s="240">
        <f>IF(ISNUMBER(Datos!Q16),Datos!Q16," - ")</f>
        <v>119</v>
      </c>
      <c r="Y16" s="374">
        <f>SUM(W16)</f>
        <v>3473</v>
      </c>
      <c r="Z16" s="375" t="str">
        <f>IF(ISNUMBER(Datos!CC16),Datos!CC16," - ")</f>
        <v xml:space="preserve"> - </v>
      </c>
      <c r="AA16" s="372">
        <f>IF(ISNUMBER(IF(D_I="SI",Datos!L16,Datos!L16+Datos!AF16)),IF(D_I="SI",Datos!L16,Datos!L16+Datos!AF16)," - ")</f>
        <v>1543</v>
      </c>
      <c r="AB16" s="374">
        <f>IF(ISNUMBER(Datos!R16),Datos!R16," - ")</f>
        <v>382</v>
      </c>
      <c r="AC16" s="374">
        <f t="shared" ref="AC16:AC22" si="8">IF(ISNUMBER(AA16+AB16),AA16+AB16," - ")</f>
        <v>1925</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392</v>
      </c>
      <c r="AJ16" s="245" t="str">
        <f>IF(ISNUMBER(Datos!BW16),Datos!BW16," - ")</f>
        <v xml:space="preserve"> - </v>
      </c>
      <c r="AK16" s="246" t="str">
        <f>IF(ISNUMBER(Datos!BX16),Datos!BX16," - ")</f>
        <v xml:space="preserve"> - </v>
      </c>
      <c r="AL16" s="266">
        <f>IF(ISNUMBER(NºAsuntos!G16/NºAsuntos!E16),NºAsuntos!G16/NºAsuntos!E16," - ")</f>
        <v>0.99115296803652964</v>
      </c>
      <c r="AM16" s="284">
        <f>IF(ISNUMBER(((NºAsuntos!I16/NºAsuntos!G16)*11)/factor_trimestre),((NºAsuntos!I16/NºAsuntos!G16)*11)/factor_trimestre," - ")</f>
        <v>1.3328534408292543</v>
      </c>
      <c r="AN16" s="267">
        <f>IF(ISNUMBER('Resol  Asuntos'!D16/NºAsuntos!G16),'Resol  Asuntos'!D16/NºAsuntos!G16," - ")</f>
        <v>0.1128707169594011</v>
      </c>
      <c r="AO16" s="268">
        <f>IF(ISNUMBER((NºAsuntos!C16+NºAsuntos!E16)/NºAsuntos!G16),(NºAsuntos!C16+NºAsuntos!E16)/NºAsuntos!G16," - ")</f>
        <v>1.4307515116613878</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1</v>
      </c>
      <c r="G17" s="373">
        <f>IF(ISNUMBER(IF(D_I="SI",Datos!I17,Datos!I17+Datos!AC17)),IF(D_I="SI",Datos!I17,Datos!I17+Datos!AC17)," - ")</f>
        <v>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1</v>
      </c>
      <c r="AB17" s="374">
        <f>IF(ISNUMBER(Datos!R17),Datos!R17," - ")</f>
        <v>0</v>
      </c>
      <c r="AC17" s="374">
        <f t="shared" si="8"/>
        <v>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137</v>
      </c>
      <c r="X18" s="240">
        <f>IF(ISNUMBER(Datos!Q18),Datos!Q18," - ")</f>
        <v>4</v>
      </c>
      <c r="Y18" s="374">
        <f t="shared" si="9"/>
        <v>141</v>
      </c>
      <c r="Z18" s="375" t="str">
        <f>IF(ISNUMBER(Datos!CC18),Datos!CC18," - ")</f>
        <v xml:space="preserve"> - </v>
      </c>
      <c r="AA18" s="372">
        <f>IF(ISNUMBER(Datos!L18),Datos!L18,"-")</f>
        <v>104</v>
      </c>
      <c r="AB18" s="374">
        <f>IF(ISNUMBER(Datos!R18),Datos!R18," - ")</f>
        <v>46</v>
      </c>
      <c r="AC18" s="374">
        <f t="shared" si="8"/>
        <v>150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46</v>
      </c>
      <c r="AJ18" s="245" t="str">
        <f>IF(ISNUMBER(Datos!BW18),Datos!BW18," - ")</f>
        <v xml:space="preserve"> - </v>
      </c>
      <c r="AK18" s="246" t="str">
        <f>IF(ISNUMBER(Datos!BX18),Datos!BX18," - ")</f>
        <v xml:space="preserve"> - </v>
      </c>
      <c r="AL18" s="266">
        <f>IF(ISNUMBER(NºAsuntos!G18/NºAsuntos!E18),NºAsuntos!G18/NºAsuntos!E18," - ")</f>
        <v>1.0620155038759691</v>
      </c>
      <c r="AM18" s="284">
        <f>IF(ISNUMBER(((NºAsuntos!I18/NºAsuntos!G18)*11)/factor_trimestre),((NºAsuntos!I18/NºAsuntos!G18)*11)/factor_trimestre," - ")</f>
        <v>2.2773722627737225</v>
      </c>
      <c r="AN18" s="267">
        <f>IF(ISNUMBER('Resol  Asuntos'!D18/NºAsuntos!G18),'Resol  Asuntos'!D18/NºAsuntos!G18," - ")</f>
        <v>0.33576642335766421</v>
      </c>
      <c r="AO18" s="268">
        <f>IF(ISNUMBER((NºAsuntos!C18+NºAsuntos!E18)/NºAsuntos!G18),(NºAsuntos!C18+NºAsuntos!E18)/NºAsuntos!G18," - ")</f>
        <v>1.9854014598540146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1513</v>
      </c>
      <c r="G23" s="1163">
        <f>SUBTOTAL(9,G16:G22)</f>
        <v>1609</v>
      </c>
      <c r="H23" s="1162">
        <f t="shared" ref="H23:O23" si="13">SUBTOTAL(9,H15:H22)</f>
        <v>0</v>
      </c>
      <c r="I23" s="1164">
        <f t="shared" si="13"/>
        <v>0</v>
      </c>
      <c r="J23" s="1164">
        <f t="shared" si="13"/>
        <v>0</v>
      </c>
      <c r="K23" s="1164">
        <f t="shared" si="13"/>
        <v>0</v>
      </c>
      <c r="L23" s="1164">
        <f t="shared" si="13"/>
        <v>95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3610</v>
      </c>
      <c r="X23" s="1164">
        <f t="shared" si="14"/>
        <v>123</v>
      </c>
      <c r="Y23" s="1165">
        <f t="shared" si="14"/>
        <v>3614</v>
      </c>
      <c r="Z23" s="1165">
        <f t="shared" si="14"/>
        <v>0</v>
      </c>
      <c r="AA23" s="1165">
        <f t="shared" si="14"/>
        <v>1648</v>
      </c>
      <c r="AB23" s="1165">
        <f t="shared" si="14"/>
        <v>428</v>
      </c>
      <c r="AC23" s="1165">
        <f t="shared" si="14"/>
        <v>2076</v>
      </c>
      <c r="AD23" s="1165">
        <f t="shared" si="14"/>
        <v>0</v>
      </c>
      <c r="AE23" s="1169">
        <f t="shared" si="14"/>
        <v>0</v>
      </c>
      <c r="AF23" s="1162">
        <f t="shared" si="14"/>
        <v>0</v>
      </c>
      <c r="AG23" s="1170">
        <f t="shared" si="14"/>
        <v>0</v>
      </c>
      <c r="AH23" s="1167">
        <f t="shared" si="14"/>
        <v>0</v>
      </c>
      <c r="AI23" s="1162">
        <f t="shared" si="14"/>
        <v>438</v>
      </c>
      <c r="AJ23" s="1164">
        <f t="shared" si="14"/>
        <v>0</v>
      </c>
      <c r="AK23" s="1167">
        <f t="shared" si="14"/>
        <v>0</v>
      </c>
      <c r="AL23" s="1171">
        <f>IF(ISNUMBER(NºAsuntos!G23/NºAsuntos!E23),NºAsuntos!G23/NºAsuntos!E23," - ")</f>
        <v>0.99366914395816131</v>
      </c>
      <c r="AM23" s="1171">
        <f>IF(ISNUMBER(((NºAsuntos!I23/NºAsuntos!G23)*11)/factor_trimestre),((NºAsuntos!I23/NºAsuntos!G23)*11)/factor_trimestre," - ")</f>
        <v>1.3695290858725764</v>
      </c>
      <c r="AN23" s="1172">
        <f>IF(ISNUMBER('Resol  Asuntos'!D23/NºAsuntos!G23),'Resol  Asuntos'!D23/NºAsuntos!G23," - ")</f>
        <v>0.12132963988919668</v>
      </c>
      <c r="AO23" s="1173">
        <f>IF(ISNUMBER((NºAsuntos!C23+NºAsuntos!E23)/NºAsuntos!G23),(NºAsuntos!C23+NºAsuntos!E23)/NºAsuntos!G23," - ")</f>
        <v>1.4520775623268698</v>
      </c>
      <c r="AP23" s="1174" t="str">
        <f t="shared" si="2"/>
        <v xml:space="preserve"> - </v>
      </c>
      <c r="AQ23" s="1174">
        <f>IF(ISNUMBER((H23-W23+K23)/(F23)),(H23-W23+K23)/(F23)," - ")</f>
        <v>-2.3859881031064112</v>
      </c>
      <c r="AR23" s="1175">
        <f>IF(ISNUMBER((Datos!P23-Datos!Q23)/(Datos!R23-Datos!P23+Datos!Q23)),(Datos!P23-Datos!Q23)/(Datos!R23-Datos!P23+Datos!Q23)," - ")</f>
        <v>-6.1403508771929821E-2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9</v>
      </c>
      <c r="F31" s="1117">
        <f t="shared" si="20"/>
        <v>1538</v>
      </c>
      <c r="G31" s="1118">
        <f t="shared" si="20"/>
        <v>1634</v>
      </c>
      <c r="H31" s="1117">
        <f t="shared" si="20"/>
        <v>0</v>
      </c>
      <c r="I31" s="1119">
        <f t="shared" si="20"/>
        <v>0</v>
      </c>
      <c r="J31" s="1119">
        <f t="shared" si="20"/>
        <v>0</v>
      </c>
      <c r="K31" s="1180">
        <f t="shared" si="20"/>
        <v>0</v>
      </c>
      <c r="L31" s="1119">
        <f t="shared" si="20"/>
        <v>445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3641</v>
      </c>
      <c r="X31" s="1118">
        <f t="shared" si="21"/>
        <v>579</v>
      </c>
      <c r="Y31" s="1125">
        <f t="shared" si="21"/>
        <v>4101</v>
      </c>
      <c r="Z31" s="1125">
        <f t="shared" si="21"/>
        <v>0</v>
      </c>
      <c r="AA31" s="1125">
        <f t="shared" si="21"/>
        <v>1673</v>
      </c>
      <c r="AB31" s="1125">
        <f t="shared" si="21"/>
        <v>8218</v>
      </c>
      <c r="AC31" s="1125">
        <f t="shared" si="21"/>
        <v>2119</v>
      </c>
      <c r="AD31" s="1125">
        <f t="shared" si="21"/>
        <v>0</v>
      </c>
      <c r="AE31" s="1127">
        <f t="shared" si="21"/>
        <v>0</v>
      </c>
      <c r="AF31" s="1128">
        <f t="shared" si="21"/>
        <v>0</v>
      </c>
      <c r="AG31" s="1129">
        <f t="shared" si="21"/>
        <v>0</v>
      </c>
      <c r="AH31" s="1127">
        <f t="shared" si="21"/>
        <v>0</v>
      </c>
      <c r="AI31" s="1117">
        <f t="shared" si="21"/>
        <v>849</v>
      </c>
      <c r="AJ31" s="1117">
        <f t="shared" si="21"/>
        <v>0</v>
      </c>
      <c r="AK31" s="1127">
        <f t="shared" si="21"/>
        <v>0</v>
      </c>
      <c r="AL31" s="1183">
        <f>IF(ISNUMBER(NºAsuntos!G31/NºAsuntos!E31),NºAsuntos!G31/NºAsuntos!E31," - ")</f>
        <v>0.96207710464201412</v>
      </c>
      <c r="AM31" s="1184">
        <f>IF(ISNUMBER(((NºAsuntos!I31/NºAsuntos!G31)*11)/factor_trimestre),((NºAsuntos!I31/NºAsuntos!G31)*11)/factor_trimestre," - ")</f>
        <v>3.0677134445534837</v>
      </c>
      <c r="AN31" s="1184">
        <f>IF(ISNUMBER('Resol  Asuntos'!D31/NºAsuntos!G31),'Resol  Asuntos'!D31/NºAsuntos!G31," - ")</f>
        <v>0.13886162904808635</v>
      </c>
      <c r="AO31" s="1185">
        <f>IF(ISNUMBER((NºAsuntos!C31+NºAsuntos!E31)/NºAsuntos!G31),(NºAsuntos!C31+NºAsuntos!E31)/NºAsuntos!G31," - ")</f>
        <v>2.0199542034674516</v>
      </c>
      <c r="AP31" s="1186" t="str">
        <f t="shared" si="2"/>
        <v xml:space="preserve"> - </v>
      </c>
      <c r="AQ31" s="1187">
        <f>IF(OR(ISNUMBER(FIND("01",Criterios!A8,1)),ISNUMBER(FIND("02",Criterios!A8,1)),ISNUMBER(FIND("03",Criterios!A8,1)),ISNUMBER(FIND("04",Criterios!A8,1))),(I31-W31+K31)/(F31-K31),(H31-W31+K31)/(F31-K31))</f>
        <v>-2.3673602080624185</v>
      </c>
      <c r="AR31" s="1188">
        <f>IF(ISNUMBER((Datos!P31-Datos!Q31)/(Datos!R31-Datos!P31+Datos!Q31)),(Datos!P31-Datos!Q31)/(Datos!R31-Datos!P31+Datos!Q31)," - ")</f>
        <v>-1.6044061302681992E-2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408.5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1.8995228702237106</v>
      </c>
      <c r="F33" s="276">
        <f>IF(ISNUMBER(STDEV(F8:F30)),STDEV(F8:F30),"-")</f>
        <v>733.13046977620957</v>
      </c>
      <c r="G33" s="277">
        <f>IF(ISNUMBER(STDEV(G8:G30)),STDEV(G8:G30),"-")</f>
        <v>699.16562517658963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1625.074921349782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207.72460400999952</v>
      </c>
      <c r="AJ33" s="276">
        <f t="shared" si="25"/>
        <v>0</v>
      </c>
      <c r="AK33" s="278">
        <f t="shared" si="25"/>
        <v>0</v>
      </c>
      <c r="AL33" s="273">
        <f t="shared" si="25"/>
        <v>5.4341864979717297E-2</v>
      </c>
      <c r="AM33" s="274">
        <f t="shared" si="25"/>
        <v>1.9550670858157693</v>
      </c>
      <c r="AN33" s="274">
        <f t="shared" si="25"/>
        <v>0.1081751112203823</v>
      </c>
      <c r="AO33" s="275">
        <f t="shared" si="25"/>
        <v>0.64306552392555116</v>
      </c>
      <c r="AP33" s="317" t="str">
        <f t="shared" si="25"/>
        <v>-</v>
      </c>
      <c r="AQ33" s="318">
        <f t="shared" si="25"/>
        <v>0.81033595886565224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CGc8VCMVmgNZatDEa9DopGW2k9OpaMLxz48bb5DAzOWzpp9g+cwp+dzywZ6dCalR4bLgwIBTyM6epKmXnPKG3A==" saltValue="Gmu4heqWsO3hhsDUx6KVp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LAS PALMAS</v>
      </c>
      <c r="E3" s="287"/>
    </row>
    <row r="4" spans="2:20" ht="17.25" customHeight="1" thickBot="1">
      <c r="D4" s="286" t="str">
        <f>Criterios!A11 &amp;"  "&amp;Criterios!B11</f>
        <v>Resumenes por Partidos Judiciales  ARRECIFE</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-0.18699186991869918</v>
      </c>
      <c r="I9" s="395">
        <f>IF(ISNUMBER((Tasas!C9-Datos!BE9)/Datos!BE9),(Tasas!C9-Datos!BE9)/Datos!BE9," - ")</f>
        <v>6.4518109974940716E-2</v>
      </c>
      <c r="J9" s="394">
        <f>IF(ISNUMBER((Tasas!D9-Datos!BF9)/Datos!BF9),(Tasas!D9-Datos!BF9)/Datos!BF9," - ")</f>
        <v>-0.70310107488300999</v>
      </c>
      <c r="K9" s="396">
        <f>IF(ISNUMBER((Tasas!E9-Datos!BG9)/Datos!BG9),(Tasas!E9-Datos!BG9)/Datos!BG9," - ")</f>
        <v>4.0962724461112709E-2</v>
      </c>
      <c r="M9" t="e">
        <f>IF(Monitorios="SI",Datos!CE9,0)</f>
        <v>#REF!</v>
      </c>
      <c r="N9" t="e">
        <f>IF(Monitorios="SI",Datos!CF9,0)</f>
        <v>#REF!</v>
      </c>
      <c r="O9" t="e">
        <f>IF(Monitorios="SI",Datos!CG9,0)</f>
        <v>#REF!</v>
      </c>
      <c r="P9" t="e">
        <f>IF(Monitorios="SI",Datos!CH9,0)</f>
        <v>#REF!</v>
      </c>
      <c r="Q9">
        <f>IF(J_V="SI",0,Datos!AG9)</f>
        <v>174</v>
      </c>
      <c r="R9">
        <f>IF(J_V="SI",0,Datos!AH9)</f>
        <v>102</v>
      </c>
      <c r="S9">
        <f>IF(J_V="SI",0,Datos!AI9)</f>
        <v>134</v>
      </c>
      <c r="T9">
        <f>IF(J_V="SI",0,Datos!AJ9)</f>
        <v>142</v>
      </c>
    </row>
    <row r="10" spans="2:20" ht="14.25">
      <c r="B10" s="300" t="s">
        <v>321</v>
      </c>
      <c r="C10" s="7" t="str">
        <f>Datos!A10</f>
        <v>Jdos. Violencia contra la mujer</v>
      </c>
      <c r="D10" s="397">
        <f>IF(ISNUMBER((Datos!I10-Datos!S10)/Datos!S10),(Datos!I10-Datos!S10)/Datos!S10," - ")</f>
        <v>-0.41860465116279072</v>
      </c>
      <c r="E10" s="393">
        <f>IF(ISNUMBER((Datos!J10-Datos!T10)/Datos!T10),(Datos!J10-Datos!T10)/Datos!T10," - ")</f>
        <v>0.55000000000000004</v>
      </c>
      <c r="F10" s="393">
        <f>IF(ISNUMBER((Datos!K10-Datos!U10)/Datos!U10),(Datos!K10-Datos!U10)/Datos!U10," - ")</f>
        <v>-0.1388888888888889</v>
      </c>
      <c r="G10" s="394">
        <f>IF(ISNUMBER((Datos!L10-Datos!V10)/Datos!V10),(Datos!L10-Datos!V10)/Datos!V10," - ")</f>
        <v>-7.407407407407407E-2</v>
      </c>
      <c r="H10" s="244">
        <f>IF(ISNUMBER((Datos!M10-Datos!W10)/Datos!W10),(Datos!M10-Datos!W10)/Datos!W10," - ")</f>
        <v>-0.35294117647058826</v>
      </c>
      <c r="I10" s="395">
        <f>IF(ISNUMBER((Tasas!C10-Datos!BE10)/Datos!BE10),(Tasas!C10-Datos!BE10)/Datos!BE10," - ")</f>
        <v>7.5268817204301008E-2</v>
      </c>
      <c r="J10" s="394">
        <f>IF(ISNUMBER((Tasas!D10-Datos!BF10)/Datos!BF10),(Tasas!D10-Datos!BF10)/Datos!BF10," - ")</f>
        <v>-0.24857685009487659</v>
      </c>
      <c r="K10" s="396">
        <f>IF(ISNUMBER((Tasas!E10-Datos!BG10)/Datos!BG10),(Tasas!E10-Datos!BG10)/Datos!BG10," - ")</f>
        <v>3.2258064516129004E-2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-0.1925343811394892</v>
      </c>
      <c r="I14" s="402">
        <f>IF(ISNUMBER((Tasas!C14-Datos!BE14)/Datos!BE14),(Tasas!C14-Datos!BE14)/Datos!BE14," - ")</f>
        <v>6.5788824377024963E-2</v>
      </c>
      <c r="J14" s="400">
        <f>IF(ISNUMBER((Tasas!D14-Datos!BF14)/Datos!BF14),(Tasas!D14-Datos!BF14)/Datos!BF14," - ")</f>
        <v>-0.69804699036163975</v>
      </c>
      <c r="K14" s="403">
        <f>IF(ISNUMBER((Tasas!E14-Datos!BG14)/Datos!BG14),(Tasas!E14-Datos!BG14)/Datos!BG14," - ")</f>
        <v>4.1647569783025244E-2</v>
      </c>
      <c r="M14" t="e">
        <f>IF(Monitorios="SI",Datos!CE14,0)</f>
        <v>#REF!</v>
      </c>
      <c r="N14" t="e">
        <f>IF(Monitorios="SI",Datos!CF14,0)</f>
        <v>#REF!</v>
      </c>
      <c r="O14" t="e">
        <f>IF(Monitorios="SI",Datos!CG14,0)</f>
        <v>#REF!</v>
      </c>
      <c r="P14" t="e">
        <f>IF(Monitorios="SI",Datos!CH14,0)</f>
        <v>#REF!</v>
      </c>
      <c r="Q14">
        <f>IF(J_V="SI",0,Datos!AG14)</f>
        <v>174</v>
      </c>
      <c r="R14">
        <f>IF(J_V="SI",0,Datos!AH14)</f>
        <v>102</v>
      </c>
      <c r="S14">
        <f>IF(J_V="SI",0,Datos!AI14)</f>
        <v>134</v>
      </c>
      <c r="T14">
        <f>IF(J_V="SI",0,Datos!AJ14)</f>
        <v>142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-0.25935288169868553</v>
      </c>
      <c r="E16" s="393">
        <f>IF(ISNUMBER(
   IF(D_I="SI",(Datos!J16-Datos!T16)/Datos!T16,(Datos!J16+Datos!AD16-(Datos!T16+Datos!AL16))/(Datos!T16+Datos!AL16))
     ),IF(D_I="SI",(Datos!J16-Datos!T16)/Datos!T16,(Datos!J16+Datos!AD16-(Datos!T16+Datos!AL16))/(Datos!T16+Datos!AL16))," - ")</f>
        <v>-0.12421894526368409</v>
      </c>
      <c r="F16" s="393">
        <f>IF(ISNUMBER(
   IF(D_I="SI",(Datos!K16-Datos!U16)/Datos!U16,(Datos!K16+Datos!AE16-(Datos!U16+Datos!AM16))/(Datos!U16+Datos!AM16))
     ),IF(D_I="SI",(Datos!K16-Datos!U16)/Datos!U16,(Datos!K16+Datos!AE16-(Datos!U16+Datos!AM16))/(Datos!U16+Datos!AM16))," - ")</f>
        <v>-0.17309523809523811</v>
      </c>
      <c r="G16" s="394">
        <f>IF(ISNUMBER(
   IF(D_I="SI",(Datos!L16-Datos!V16)/Datos!V16,(Datos!L16+Datos!AF16-(Datos!V16+Datos!AN16))/(Datos!V16+Datos!AN16))
     ),IF(D_I="SI",(Datos!L16-Datos!V16)/Datos!V16,(Datos!L16+Datos!AF16-(Datos!V16+Datos!AN16))/(Datos!V16+Datos!AN16))," - ")</f>
        <v>-0.13943112102621305</v>
      </c>
      <c r="H16" s="244">
        <f>IF(ISNUMBER((Datos!M16-Datos!W16)/Datos!W16),(Datos!M16-Datos!W16)/Datos!W16," - ")</f>
        <v>-3.6855036855036855E-2</v>
      </c>
      <c r="I16" s="395">
        <f>IF(ISNUMBER((Tasas!C16-Datos!BE16)/Datos!BE16),(Tasas!C16-Datos!BE16)/Datos!BE16," - ")</f>
        <v>4.0710996743422205E-2</v>
      </c>
      <c r="J16" s="394">
        <f>IF(ISNUMBER((Tasas!D16-Datos!BF16)/Datos!BF16),(Tasas!D16-Datos!BF16)/Datos!BF16," - ")</f>
        <v>0.16475924135008496</v>
      </c>
      <c r="K16" s="396">
        <f>IF(ISNUMBER((Tasas!E16-Datos!BG16)/Datos!BG16),(Tasas!E16-Datos!BG16)/Datos!BG16," - ")</f>
        <v>5.0437111520035376E-3</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f>IF(ISNUMBER(
   IF(D_I="SI",(Datos!L17-Datos!V17)/Datos!V17,(Datos!L17+Datos!AF17-(Datos!V17+Datos!AN17))/(Datos!V17+Datos!AN17))
     ),IF(D_I="SI",(Datos!L17-Datos!V17)/Datos!V17,(Datos!L17+Datos!AF17-(Datos!V17+Datos!AN17))/(Datos!V17+Datos!AN17))," - ")</f>
        <v>0</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-2.0547945205479451E-2</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-7.246376811594203E-3</v>
      </c>
      <c r="G18" s="394">
        <f>IF(ISNUMBER(
   IF(D_I="SI",(Datos!L18-Datos!V18)/Datos!V18,(Datos!L18+Datos!AF18-(Datos!V18+Datos!AN18))/(Datos!V18+Datos!AN18))
     ),IF(D_I="SI",(Datos!L18-Datos!V18)/Datos!V18,(Datos!L18+Datos!AF18-(Datos!V18+Datos!AN18))/(Datos!V18+Datos!AN18))," - ")</f>
        <v>-0.24087591240875914</v>
      </c>
      <c r="H18" s="244">
        <f>IF(ISNUMBER((Datos!M18-Datos!W18)/Datos!W18),(Datos!M18-Datos!W18)/Datos!W18," - ")</f>
        <v>0.27777777777777779</v>
      </c>
      <c r="I18" s="395">
        <f>IF(ISNUMBER((Tasas!C18-Datos!BE18)/Datos!BE18),(Tasas!C18-Datos!BE18)/Datos!BE18," - ")</f>
        <v>-0.23533486067451651</v>
      </c>
      <c r="J18" s="394">
        <f>IF(ISNUMBER((Tasas!D18-Datos!BF18)/Datos!BF18),(Tasas!D18-Datos!BF18)/Datos!BF18," - ")</f>
        <v>0.28710462287104616</v>
      </c>
      <c r="K18" s="396">
        <f>IF(ISNUMBER((Tasas!E18-Datos!BG18)/Datos!BG18),(Tasas!E18-Datos!BG18)/Datos!BG18," - ")</f>
        <v>-3.6894492368944672E-3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-0.24282352941176472</v>
      </c>
      <c r="E23" s="399">
        <f>IF(ISNUMBER(
   IF(D_I="SI",(Datos!J23-Datos!T23)/Datos!T23,(Datos!J23+Datos!AD23-(Datos!T23+Datos!AL23))/(Datos!T23+Datos!AL23))
     ),IF(D_I="SI",(Datos!J23-Datos!T23)/Datos!T23,(Datos!J23+Datos!AD23-(Datos!T23+Datos!AL23))/(Datos!T23+Datos!AL23))," - ")</f>
        <v>-0.12033898305084746</v>
      </c>
      <c r="F23" s="399">
        <f>IF(ISNUMBER(
   IF(D_I="SI",(Datos!K23-Datos!U23)/Datos!U23,(Datos!K23+Datos!AE23-(Datos!U23+Datos!AM23))/(Datos!U23+Datos!AM23))
     ),IF(D_I="SI",(Datos!K23-Datos!U23)/Datos!U23,(Datos!K23+Datos!AE23-(Datos!U23+Datos!AM23))/(Datos!U23+Datos!AM23))," - ")</f>
        <v>-0.16781927155371137</v>
      </c>
      <c r="G23" s="400">
        <f>IF(ISNUMBER(
   IF(D_I="SI",(Datos!L23-Datos!V23)/Datos!V23,(Datos!L23+Datos!AF23-(Datos!V23+Datos!AN23))/(Datos!V23+Datos!AN23))
     ),IF(D_I="SI",(Datos!L23-Datos!V23)/Datos!V23,(Datos!L23+Datos!AF23-(Datos!V23+Datos!AN23))/(Datos!V23+Datos!AN23))," - ")</f>
        <v>-0.14655618850336613</v>
      </c>
      <c r="H23" s="401">
        <f>IF(ISNUMBER((Datos!M23-Datos!W23)/Datos!W23),(Datos!M23-Datos!W23)/Datos!W23," - ")</f>
        <v>-1.1286681715575621E-2</v>
      </c>
      <c r="I23" s="402">
        <f>IF(ISNUMBER((Tasas!C23-Datos!BE23)/Datos!BE23),(Tasas!C23-Datos!BE23)/Datos!BE23," - ")</f>
        <v>2.5551039964653157E-2</v>
      </c>
      <c r="J23" s="400">
        <f>IF(ISNUMBER((Tasas!D23-Datos!BF23)/Datos!BF23),(Tasas!D23-Datos!BF23)/Datos!BF23," - ")</f>
        <v>0.18809927277502303</v>
      </c>
      <c r="K23" s="403">
        <f>IF(ISNUMBER((Tasas!E23-Datos!BG23)/Datos!BG23),(Tasas!E23-Datos!BG23)/Datos!BG23," - ")</f>
        <v>7.0523525777715828E-3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-0.14111747851002865</v>
      </c>
      <c r="E31" s="409">
        <f>IF(ISNUMBER(
   IF(J_V="SI",(Datos!J31-Datos!T31)/Datos!T31,(Datos!J31+Datos!Z31-(Datos!T31+Datos!AH31))/(Datos!T31+Datos!AH31))
     ),IF(J_V="SI",(Datos!J31-Datos!T31)/Datos!T31,(Datos!J31+Datos!Z31-(Datos!T31+Datos!AH31))/(Datos!T31+Datos!AH31))," - ")</f>
        <v>-1.2278520360584395E-2</v>
      </c>
      <c r="F31" s="409">
        <f>IF(ISNUMBER(
   IF(J_V="SI",(Datos!K31-Datos!U31)/Datos!U31,(Datos!K31+Datos!AA31-(Datos!U31+Datos!AI31))/(Datos!U31+Datos!AI31))
     ),IF(J_V="SI",(Datos!K31-Datos!U31)/Datos!U31,(Datos!K31+Datos!AA31-(Datos!U31+Datos!AI31))/(Datos!U31+Datos!AI31))," - ")</f>
        <v>-0.12218234027279254</v>
      </c>
      <c r="G31" s="410">
        <f>IF(ISNUMBER(
   IF(J_V="SI",(Datos!L31-Datos!V31)/Datos!V31,(Datos!L31+Datos!AB31-(Datos!V31+Datos!AJ31))/(Datos!V31+Datos!AJ31))
     ),IF(J_V="SI",(Datos!L31-Datos!V31)/Datos!V31,(Datos!L31+Datos!AB31-(Datos!V31+Datos!AJ31))/(Datos!V31+Datos!AJ31))," - ")</f>
        <v>-3.2647377378926194E-2</v>
      </c>
      <c r="H31" s="411">
        <f>IF(ISNUMBER((Datos!M31-Datos!W31)/Datos!W31),(Datos!M31-Datos!W31)/Datos!W31," - ")</f>
        <v>-0.10819327731092437</v>
      </c>
      <c r="I31" s="408">
        <f>IF(ISNUMBER((Tasas!C31-Datos!BE31)/Datos!BE31),(Tasas!C31-Datos!BE31)/Datos!BE31," - ")</f>
        <v>0.10199722220408555</v>
      </c>
      <c r="J31" s="409">
        <f>IF(ISNUMBER((Tasas!D31-Datos!BF31)/Datos!BF31),(Tasas!D31-Datos!BF31)/Datos!BF31," - ")</f>
        <v>-0.48307255675044281</v>
      </c>
      <c r="K31" s="410">
        <f>IF(ISNUMBER((Tasas!E31-Datos!BG31)/Datos!BG31),(Tasas!E31-Datos!BG31)/Datos!BG31," - ")</f>
        <v>4.88281666282094E-2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0.17653554574398966</v>
      </c>
      <c r="E33" s="303">
        <f t="shared" si="1"/>
        <v>0.32098188028571362</v>
      </c>
      <c r="F33" s="303">
        <f t="shared" si="1"/>
        <v>7.7810735918997787E-2</v>
      </c>
      <c r="G33" s="304">
        <f t="shared" si="1"/>
        <v>8.9725694174247445E-2</v>
      </c>
      <c r="H33" s="310">
        <f t="shared" si="1"/>
        <v>0.21592091174460099</v>
      </c>
      <c r="I33" s="302">
        <f t="shared" si="1"/>
        <v>0.11968860516497944</v>
      </c>
      <c r="J33" s="303">
        <f t="shared" si="1"/>
        <v>0.4513160104242902</v>
      </c>
      <c r="K33" s="304">
        <f t="shared" si="1"/>
        <v>2.0045188051397097E-2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kdRR65Zx9DXtPTRfWYIZhfqHkyyBtDBgW5SVRTAzM/YfcKrUYu/h1jGL49neB1QQPaJ3JmMNO+2gX9HxXEq6g==" saltValue="lXwzRZc2r7gNdE1ngHAMQ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2023-05-05T16:59:56Z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